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3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E8" i="13" s="1"/>
  <c r="C8" i="13" s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D7" i="13" s="1"/>
  <c r="C7" i="13" s="1"/>
  <c r="L203" i="1"/>
  <c r="L221" i="1"/>
  <c r="L239" i="1"/>
  <c r="F12" i="13"/>
  <c r="G12" i="13"/>
  <c r="L205" i="1"/>
  <c r="D12" i="13" s="1"/>
  <c r="C12" i="13" s="1"/>
  <c r="L223" i="1"/>
  <c r="L241" i="1"/>
  <c r="F14" i="13"/>
  <c r="G14" i="13"/>
  <c r="L207" i="1"/>
  <c r="L225" i="1"/>
  <c r="L243" i="1"/>
  <c r="F15" i="13"/>
  <c r="G15" i="13"/>
  <c r="L208" i="1"/>
  <c r="C21" i="10" s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F661" i="1" s="1"/>
  <c r="L359" i="1"/>
  <c r="L360" i="1"/>
  <c r="I367" i="1"/>
  <c r="J290" i="1"/>
  <c r="J309" i="1"/>
  <c r="J328" i="1"/>
  <c r="K290" i="1"/>
  <c r="K309" i="1"/>
  <c r="K328" i="1"/>
  <c r="L276" i="1"/>
  <c r="E109" i="2" s="1"/>
  <c r="L277" i="1"/>
  <c r="L278" i="1"/>
  <c r="L279" i="1"/>
  <c r="L281" i="1"/>
  <c r="L282" i="1"/>
  <c r="E119" i="2" s="1"/>
  <c r="L283" i="1"/>
  <c r="E120" i="2" s="1"/>
  <c r="L284" i="1"/>
  <c r="E121" i="2" s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C25" i="10" s="1"/>
  <c r="L341" i="1"/>
  <c r="L342" i="1"/>
  <c r="L255" i="1"/>
  <c r="L336" i="1"/>
  <c r="C11" i="13"/>
  <c r="C10" i="13"/>
  <c r="C9" i="13"/>
  <c r="L361" i="1"/>
  <c r="B4" i="12"/>
  <c r="B36" i="12"/>
  <c r="C36" i="12"/>
  <c r="B40" i="12"/>
  <c r="A40" i="12" s="1"/>
  <c r="C40" i="12"/>
  <c r="B27" i="12"/>
  <c r="C27" i="12"/>
  <c r="B31" i="12"/>
  <c r="C31" i="12"/>
  <c r="B9" i="12"/>
  <c r="B13" i="12"/>
  <c r="C9" i="12"/>
  <c r="C13" i="12"/>
  <c r="A13" i="12" s="1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H112" i="1" s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H169" i="1" s="1"/>
  <c r="I147" i="1"/>
  <c r="I162" i="1"/>
  <c r="C12" i="10"/>
  <c r="C13" i="10"/>
  <c r="C15" i="10"/>
  <c r="C16" i="10"/>
  <c r="C17" i="10"/>
  <c r="C18" i="10"/>
  <c r="C19" i="10"/>
  <c r="C20" i="10"/>
  <c r="L250" i="1"/>
  <c r="L332" i="1"/>
  <c r="L254" i="1"/>
  <c r="L268" i="1"/>
  <c r="C26" i="10" s="1"/>
  <c r="L269" i="1"/>
  <c r="L349" i="1"/>
  <c r="L350" i="1"/>
  <c r="I665" i="1"/>
  <c r="I670" i="1"/>
  <c r="L229" i="1"/>
  <c r="L247" i="1"/>
  <c r="F662" i="1"/>
  <c r="G662" i="1"/>
  <c r="H662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F552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H552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E57" i="2"/>
  <c r="C58" i="2"/>
  <c r="E58" i="2"/>
  <c r="C59" i="2"/>
  <c r="D59" i="2"/>
  <c r="E59" i="2"/>
  <c r="F59" i="2"/>
  <c r="D60" i="2"/>
  <c r="D62" i="2" s="1"/>
  <c r="D63" i="2" s="1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8" i="2" s="1"/>
  <c r="C76" i="2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D91" i="2" s="1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C111" i="2"/>
  <c r="E111" i="2"/>
  <c r="C112" i="2"/>
  <c r="E112" i="2"/>
  <c r="C113" i="2"/>
  <c r="E113" i="2"/>
  <c r="C114" i="2"/>
  <c r="E114" i="2"/>
  <c r="D115" i="2"/>
  <c r="F115" i="2"/>
  <c r="G115" i="2"/>
  <c r="C118" i="2"/>
  <c r="E118" i="2"/>
  <c r="C119" i="2"/>
  <c r="C122" i="2"/>
  <c r="E122" i="2"/>
  <c r="C123" i="2"/>
  <c r="E123" i="2"/>
  <c r="E124" i="2"/>
  <c r="C125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I19" i="1"/>
  <c r="F32" i="1"/>
  <c r="F52" i="1" s="1"/>
  <c r="H617" i="1" s="1"/>
  <c r="G32" i="1"/>
  <c r="G52" i="1" s="1"/>
  <c r="H618" i="1" s="1"/>
  <c r="H32" i="1"/>
  <c r="I32" i="1"/>
  <c r="H51" i="1"/>
  <c r="I51" i="1"/>
  <c r="I52" i="1" s="1"/>
  <c r="H620" i="1" s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F257" i="1" s="1"/>
  <c r="F271" i="1" s="1"/>
  <c r="G211" i="1"/>
  <c r="G257" i="1" s="1"/>
  <c r="G271" i="1" s="1"/>
  <c r="H211" i="1"/>
  <c r="I211" i="1"/>
  <c r="I257" i="1" s="1"/>
  <c r="I271" i="1" s="1"/>
  <c r="J211" i="1"/>
  <c r="J257" i="1" s="1"/>
  <c r="J271" i="1" s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L256" i="1" s="1"/>
  <c r="I256" i="1"/>
  <c r="J256" i="1"/>
  <c r="K256" i="1"/>
  <c r="L270" i="1"/>
  <c r="F290" i="1"/>
  <c r="F338" i="1" s="1"/>
  <c r="F352" i="1" s="1"/>
  <c r="G290" i="1"/>
  <c r="G338" i="1" s="1"/>
  <c r="G352" i="1" s="1"/>
  <c r="H290" i="1"/>
  <c r="H338" i="1" s="1"/>
  <c r="H352" i="1" s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F362" i="1"/>
  <c r="G362" i="1"/>
  <c r="H362" i="1"/>
  <c r="I362" i="1"/>
  <c r="J362" i="1"/>
  <c r="K362" i="1"/>
  <c r="I368" i="1"/>
  <c r="F369" i="1"/>
  <c r="G369" i="1"/>
  <c r="H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G408" i="1" s="1"/>
  <c r="H645" i="1" s="1"/>
  <c r="J645" i="1" s="1"/>
  <c r="H401" i="1"/>
  <c r="I401" i="1"/>
  <c r="I408" i="1" s="1"/>
  <c r="F407" i="1"/>
  <c r="G407" i="1"/>
  <c r="H407" i="1"/>
  <c r="I407" i="1"/>
  <c r="F408" i="1"/>
  <c r="H408" i="1"/>
  <c r="H644" i="1" s="1"/>
  <c r="J644" i="1" s="1"/>
  <c r="L413" i="1"/>
  <c r="L414" i="1"/>
  <c r="L415" i="1"/>
  <c r="L416" i="1"/>
  <c r="L417" i="1"/>
  <c r="L418" i="1"/>
  <c r="L419" i="1" s="1"/>
  <c r="F419" i="1"/>
  <c r="G419" i="1"/>
  <c r="H419" i="1"/>
  <c r="I419" i="1"/>
  <c r="J419" i="1"/>
  <c r="L421" i="1"/>
  <c r="L422" i="1"/>
  <c r="L423" i="1"/>
  <c r="L424" i="1"/>
  <c r="L425" i="1"/>
  <c r="L426" i="1"/>
  <c r="L427" i="1" s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F452" i="1"/>
  <c r="G452" i="1"/>
  <c r="H452" i="1"/>
  <c r="I452" i="1"/>
  <c r="F460" i="1"/>
  <c r="G460" i="1"/>
  <c r="H460" i="1"/>
  <c r="I460" i="1"/>
  <c r="F461" i="1"/>
  <c r="G461" i="1"/>
  <c r="H461" i="1"/>
  <c r="I461" i="1"/>
  <c r="F470" i="1"/>
  <c r="G470" i="1"/>
  <c r="H470" i="1"/>
  <c r="H476" i="1" s="1"/>
  <c r="H624" i="1" s="1"/>
  <c r="J624" i="1" s="1"/>
  <c r="I470" i="1"/>
  <c r="J470" i="1"/>
  <c r="F474" i="1"/>
  <c r="F476" i="1" s="1"/>
  <c r="H622" i="1" s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L529" i="1"/>
  <c r="F534" i="1"/>
  <c r="G534" i="1"/>
  <c r="G545" i="1" s="1"/>
  <c r="H534" i="1"/>
  <c r="H545" i="1" s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L614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5" i="1"/>
  <c r="H636" i="1"/>
  <c r="H637" i="1"/>
  <c r="H638" i="1"/>
  <c r="G639" i="1"/>
  <c r="H639" i="1"/>
  <c r="G640" i="1"/>
  <c r="H640" i="1"/>
  <c r="G641" i="1"/>
  <c r="H641" i="1"/>
  <c r="H642" i="1"/>
  <c r="G643" i="1"/>
  <c r="H643" i="1"/>
  <c r="G644" i="1"/>
  <c r="G645" i="1"/>
  <c r="G650" i="1"/>
  <c r="G651" i="1"/>
  <c r="G652" i="1"/>
  <c r="H652" i="1"/>
  <c r="G653" i="1"/>
  <c r="H653" i="1"/>
  <c r="G654" i="1"/>
  <c r="H654" i="1"/>
  <c r="H655" i="1"/>
  <c r="J655" i="1" s="1"/>
  <c r="F192" i="1"/>
  <c r="K257" i="1"/>
  <c r="K271" i="1" s="1"/>
  <c r="G164" i="2"/>
  <c r="L328" i="1"/>
  <c r="L351" i="1"/>
  <c r="A31" i="12"/>
  <c r="C70" i="2"/>
  <c r="D18" i="13"/>
  <c r="C18" i="13" s="1"/>
  <c r="D17" i="13"/>
  <c r="C17" i="13" s="1"/>
  <c r="D6" i="13"/>
  <c r="C6" i="13" s="1"/>
  <c r="C91" i="2"/>
  <c r="F78" i="2"/>
  <c r="F81" i="2" s="1"/>
  <c r="D31" i="2"/>
  <c r="D50" i="2"/>
  <c r="G157" i="2"/>
  <c r="F18" i="2"/>
  <c r="G161" i="2"/>
  <c r="G156" i="2"/>
  <c r="E103" i="2"/>
  <c r="E62" i="2"/>
  <c r="E63" i="2" s="1"/>
  <c r="D19" i="13"/>
  <c r="C19" i="13" s="1"/>
  <c r="D14" i="13"/>
  <c r="C14" i="13" s="1"/>
  <c r="E13" i="13"/>
  <c r="C13" i="13" s="1"/>
  <c r="E78" i="2"/>
  <c r="E81" i="2" s="1"/>
  <c r="J641" i="1"/>
  <c r="J639" i="1"/>
  <c r="J571" i="1"/>
  <c r="K571" i="1"/>
  <c r="L433" i="1"/>
  <c r="I169" i="1"/>
  <c r="J643" i="1"/>
  <c r="J476" i="1"/>
  <c r="H626" i="1" s="1"/>
  <c r="I476" i="1"/>
  <c r="H625" i="1" s="1"/>
  <c r="J625" i="1" s="1"/>
  <c r="F169" i="1"/>
  <c r="J140" i="1"/>
  <c r="F571" i="1"/>
  <c r="I552" i="1"/>
  <c r="K550" i="1"/>
  <c r="G22" i="2"/>
  <c r="K545" i="1"/>
  <c r="J552" i="1"/>
  <c r="C29" i="10"/>
  <c r="H140" i="1"/>
  <c r="L393" i="1"/>
  <c r="F22" i="13"/>
  <c r="H571" i="1"/>
  <c r="L560" i="1"/>
  <c r="J545" i="1"/>
  <c r="H192" i="1"/>
  <c r="C35" i="10"/>
  <c r="L309" i="1"/>
  <c r="E16" i="13"/>
  <c r="L570" i="1"/>
  <c r="I571" i="1"/>
  <c r="I545" i="1"/>
  <c r="J636" i="1"/>
  <c r="G36" i="2"/>
  <c r="L565" i="1"/>
  <c r="C22" i="13"/>
  <c r="C138" i="2"/>
  <c r="C16" i="13"/>
  <c r="F112" i="1" l="1"/>
  <c r="D18" i="2"/>
  <c r="G62" i="2"/>
  <c r="L401" i="1"/>
  <c r="C139" i="2" s="1"/>
  <c r="J640" i="1"/>
  <c r="I446" i="1"/>
  <c r="G642" i="1" s="1"/>
  <c r="L544" i="1"/>
  <c r="K551" i="1"/>
  <c r="L534" i="1"/>
  <c r="G552" i="1"/>
  <c r="K549" i="1"/>
  <c r="K552" i="1" s="1"/>
  <c r="L524" i="1"/>
  <c r="L545" i="1" s="1"/>
  <c r="I662" i="1"/>
  <c r="J651" i="1"/>
  <c r="K598" i="1"/>
  <c r="G647" i="1" s="1"/>
  <c r="D5" i="13"/>
  <c r="C5" i="13" s="1"/>
  <c r="I369" i="1"/>
  <c r="H634" i="1" s="1"/>
  <c r="J634" i="1" s="1"/>
  <c r="J617" i="1"/>
  <c r="J622" i="1"/>
  <c r="G476" i="1"/>
  <c r="H623" i="1" s="1"/>
  <c r="J623" i="1" s="1"/>
  <c r="K338" i="1"/>
  <c r="K352" i="1" s="1"/>
  <c r="C142" i="2"/>
  <c r="H25" i="13"/>
  <c r="C25" i="13"/>
  <c r="H33" i="13"/>
  <c r="C32" i="10"/>
  <c r="C131" i="2"/>
  <c r="D29" i="13"/>
  <c r="C29" i="13" s="1"/>
  <c r="E115" i="2"/>
  <c r="H257" i="1"/>
  <c r="H271" i="1" s="1"/>
  <c r="H660" i="1"/>
  <c r="H664" i="1" s="1"/>
  <c r="H667" i="1" s="1"/>
  <c r="G649" i="1"/>
  <c r="J649" i="1" s="1"/>
  <c r="D15" i="13"/>
  <c r="C15" i="13" s="1"/>
  <c r="H647" i="1"/>
  <c r="C124" i="2"/>
  <c r="E31" i="2"/>
  <c r="H52" i="1"/>
  <c r="H619" i="1" s="1"/>
  <c r="L362" i="1"/>
  <c r="L211" i="1"/>
  <c r="L257" i="1" s="1"/>
  <c r="L271" i="1" s="1"/>
  <c r="G632" i="1" s="1"/>
  <c r="J632" i="1" s="1"/>
  <c r="D127" i="2"/>
  <c r="D128" i="2" s="1"/>
  <c r="D145" i="2" s="1"/>
  <c r="H661" i="1"/>
  <c r="G661" i="1"/>
  <c r="E128" i="2"/>
  <c r="L290" i="1"/>
  <c r="L338" i="1" s="1"/>
  <c r="L352" i="1" s="1"/>
  <c r="G633" i="1" s="1"/>
  <c r="J633" i="1" s="1"/>
  <c r="C10" i="10"/>
  <c r="C121" i="2"/>
  <c r="C120" i="2"/>
  <c r="E33" i="13"/>
  <c r="D35" i="13" s="1"/>
  <c r="C110" i="2"/>
  <c r="C11" i="10"/>
  <c r="C109" i="2"/>
  <c r="C81" i="2"/>
  <c r="C57" i="2"/>
  <c r="C62" i="2" s="1"/>
  <c r="C63" i="2" s="1"/>
  <c r="C18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660" i="1"/>
  <c r="G31" i="13"/>
  <c r="G33" i="13" s="1"/>
  <c r="I338" i="1"/>
  <c r="I352" i="1" s="1"/>
  <c r="J650" i="1"/>
  <c r="L407" i="1"/>
  <c r="C140" i="2" s="1"/>
  <c r="C141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J618" i="1"/>
  <c r="G42" i="2"/>
  <c r="J51" i="1"/>
  <c r="G16" i="2"/>
  <c r="J19" i="1"/>
  <c r="G621" i="1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G50" i="2"/>
  <c r="G51" i="2" s="1"/>
  <c r="H648" i="1"/>
  <c r="J648" i="1" s="1"/>
  <c r="J652" i="1"/>
  <c r="J642" i="1"/>
  <c r="G571" i="1"/>
  <c r="I434" i="1"/>
  <c r="G434" i="1"/>
  <c r="E104" i="2"/>
  <c r="I663" i="1"/>
  <c r="C27" i="10"/>
  <c r="G635" i="1"/>
  <c r="J635" i="1" s="1"/>
  <c r="G104" i="2" l="1"/>
  <c r="H646" i="1"/>
  <c r="J646" i="1" s="1"/>
  <c r="J647" i="1"/>
  <c r="C144" i="2"/>
  <c r="I661" i="1"/>
  <c r="E145" i="2"/>
  <c r="H672" i="1"/>
  <c r="C6" i="10" s="1"/>
  <c r="F660" i="1"/>
  <c r="F664" i="1" s="1"/>
  <c r="F672" i="1" s="1"/>
  <c r="C4" i="10" s="1"/>
  <c r="D31" i="13"/>
  <c r="C31" i="13" s="1"/>
  <c r="C115" i="2"/>
  <c r="G664" i="1"/>
  <c r="C128" i="2"/>
  <c r="C28" i="10"/>
  <c r="D22" i="10" s="1"/>
  <c r="C104" i="2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C145" i="2" l="1"/>
  <c r="I660" i="1"/>
  <c r="I664" i="1" s="1"/>
  <c r="I672" i="1" s="1"/>
  <c r="C7" i="10" s="1"/>
  <c r="D33" i="13"/>
  <c r="D36" i="13" s="1"/>
  <c r="F667" i="1"/>
  <c r="D20" i="10"/>
  <c r="D13" i="10"/>
  <c r="D26" i="10"/>
  <c r="D15" i="10"/>
  <c r="D17" i="10"/>
  <c r="C30" i="10"/>
  <c r="D24" i="10"/>
  <c r="D23" i="10"/>
  <c r="D27" i="10"/>
  <c r="D25" i="10"/>
  <c r="D10" i="10"/>
  <c r="D21" i="10"/>
  <c r="D12" i="10"/>
  <c r="D18" i="10"/>
  <c r="D16" i="10"/>
  <c r="D19" i="10"/>
  <c r="G667" i="1"/>
  <c r="G672" i="1"/>
  <c r="C5" i="10" s="1"/>
  <c r="D11" i="10"/>
  <c r="H656" i="1"/>
  <c r="C41" i="10"/>
  <c r="D38" i="10" s="1"/>
  <c r="I667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<sst xmlns="http://schemas.openxmlformats.org/spreadsheetml/2006/main" count="3956" uniqueCount="912">
  <si>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</si>
  <si>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</si>
  <si>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</si>
  <si>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</si>
  <si>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</si>
  <si>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</si>
  <si>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</si>
  <si>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</si>
  <si>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</si>
  <si>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</si>
  <si>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</si>
  <si>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</si>
  <si>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</si>
  <si>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</si>
  <si>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</si>
  <si>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</si>
  <si>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</si>
  <si>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</si>
  <si>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</si>
  <si>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</si>
  <si>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</si>
  <si>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</si>
  <si>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</si>
  <si>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</si>
  <si>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</si>
  <si>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</si>
  <si>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</si>
  <si>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</si>
  <si>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</si>
  <si>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</si>
  <si>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</si>
  <si>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</si>
  <si>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</si>
  <si>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</si>
  <si>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</si>
  <si>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</si>
  <si>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</si>
  <si>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</si>
  <si>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</si>
  <si>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</si>
  <si>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</si>
  <si>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</si>
  <si>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</si>
  <si>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</si>
  <si>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</si>
  <si>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</si>
  <si>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</si>
  <si>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</si>
  <si>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</si>
  <si>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</si>
  <si>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</si>
  <si>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</si>
  <si>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</si>
  <si>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</si>
  <si>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</si>
  <si>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</si>
  <si>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</si>
  <si>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</si>
  <si>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</si>
  <si>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</si>
  <si>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</si>
  <si>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</si>
  <si>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</si>
  <si>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</si>
  <si>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</si>
  <si>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</si>
  <si>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</si>
  <si>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</si>
  <si>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</si>
  <si>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</si>
  <si>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</si>
  <si>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</si>
  <si>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</si>
  <si>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</si>
  <si>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</si>
  <si>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</si>
  <si>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</si>
  <si>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</si>
  <si>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</si>
  <si>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</si>
  <si>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</si>
  <si>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</si>
  <si>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</si>
  <si>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</si>
  <si>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</si>
  <si>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</si>
  <si>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</si>
  <si>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</si>
  <si>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</si>
  <si>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</si>
  <si>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</si>
  <si>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</si>
  <si>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</si>
  <si>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</si>
  <si>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</si>
  <si>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</si>
  <si>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</si>
  <si>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</si>
  <si>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</si>
  <si>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</si>
  <si>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</si>
  <si>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</si>
  <si>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</si>
  <si>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</si>
  <si>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</si>
  <si>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</si>
  <si>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</si>
  <si>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</si>
  <si>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</si>
  <si>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</si>
  <si>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</si>
  <si>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</si>
  <si>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</si>
  <si>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</si>
  <si>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</si>
  <si>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</si>
  <si>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</si>
  <si>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</si>
  <si>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</si>
  <si>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</si>
  <si>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</si>
  <si>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</si>
  <si>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</si>
  <si>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</si>
  <si>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</si>
  <si>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</si>
  <si>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</si>
  <si>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</si>
  <si>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</si>
  <si>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</si>
  <si>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</si>
  <si>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</si>
  <si>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</si>
  <si>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</si>
  <si>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</si>
  <si>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</si>
  <si>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</si>
  <si>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</si>
  <si>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</si>
  <si>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</si>
  <si>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</si>
  <si>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</si>
  <si>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</si>
  <si>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</si>
  <si>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</si>
  <si>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</si>
  <si>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</si>
  <si>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</si>
  <si>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</si>
  <si>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</si>
  <si>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</si>
  <si>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</si>
  <si>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</si>
  <si>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</si>
  <si>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</si>
  <si>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</si>
  <si>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</si>
  <si>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</si>
  <si>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</si>
  <si>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</si>
  <si>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</si>
  <si>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</si>
  <si>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</si>
  <si>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</si>
  <si>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</si>
  <si>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</si>
  <si>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</si>
  <si>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</si>
  <si>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</si>
  <si>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</si>
  <si>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</si>
  <si>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</si>
  <si>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</si>
  <si>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</si>
  <si>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</si>
  <si>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</si>
  <si>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</si>
  <si>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</si>
  <si>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</si>
  <si>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</si>
  <si>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</si>
  <si>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</si>
  <si>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</si>
  <si>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</si>
  <si>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</si>
  <si>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</si>
  <si>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</si>
  <si>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</si>
  <si>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</si>
  <si>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</si>
  <si>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</si>
  <si>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</si>
  <si>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</si>
  <si>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</si>
  <si>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</si>
  <si>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</si>
  <si>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</si>
  <si>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</si>
  <si>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</si>
  <si>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</si>
  <si>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</si>
  <si>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</si>
  <si>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</si>
  <si>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</si>
  <si>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</si>
  <si>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</si>
  <si>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</si>
  <si>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</si>
  <si>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</si>
  <si>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</si>
  <si>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</si>
  <si>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</si>
  <si>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</si>
  <si>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</si>
  <si>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</si>
  <si>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</si>
  <si>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</si>
  <si>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</si>
  <si>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</si>
  <si>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</si>
  <si>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</si>
  <si>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</si>
  <si>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</si>
  <si>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</si>
  <si>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</si>
  <si>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</si>
  <si>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</si>
  <si>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</si>
  <si>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</si>
  <si>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</si>
  <si>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</si>
  <si>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</si>
  <si>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</si>
  <si>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</si>
  <si>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</si>
  <si>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</si>
  <si>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</si>
  <si>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</si>
  <si>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</si>
  <si>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</si>
  <si>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</si>
  <si>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</si>
  <si>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</si>
  <si>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</si>
  <si>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</si>
  <si>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</si>
  <si>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</si>
  <si>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</si>
  <si>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</si>
  <si>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</si>
  <si>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</si>
  <si>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</si>
  <si>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</si>
  <si>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</si>
  <si>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</si>
  <si>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</si>
  <si>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</si>
  <si>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</si>
  <si>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</si>
  <si>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</si>
  <si>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</si>
  <si>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</si>
  <si>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</si>
  <si>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</si>
  <si>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</si>
  <si>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</si>
  <si>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</si>
  <si>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</si>
  <si>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</si>
  <si>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</si>
  <si>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</si>
  <si>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</si>
  <si>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</si>
  <si>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</si>
  <si>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</si>
  <si>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</si>
  <si>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</si>
  <si>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</si>
  <si>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</si>
  <si>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</si>
  <si>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</si>
  <si>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</si>
  <si>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</si>
  <si>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</si>
  <si>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</si>
  <si>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</si>
  <si>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</si>
  <si>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</si>
  <si>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</si>
  <si>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</si>
  <si>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</si>
  <si>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</si>
  <si>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</si>
  <si>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</si>
  <si>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</si>
  <si>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</si>
  <si>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</si>
  <si>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</si>
  <si>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</si>
  <si>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</si>
  <si>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</si>
  <si>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</si>
  <si>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</si>
  <si>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</si>
  <si>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</si>
  <si>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</si>
  <si>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</si>
  <si>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</si>
  <si>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</si>
  <si>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</si>
  <si>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</si>
  <si>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</si>
  <si>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</si>
  <si>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</si>
  <si>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</si>
  <si>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</si>
  <si>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</si>
  <si>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</si>
  <si>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</si>
  <si>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</si>
  <si>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</si>
  <si>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</si>
  <si>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</si>
  <si>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</si>
  <si>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</si>
  <si>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</si>
  <si>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</si>
  <si>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</si>
  <si>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</si>
  <si>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</si>
  <si>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</si>
  <si>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</si>
  <si>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</si>
  <si>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</si>
  <si>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</si>
  <si>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</si>
  <si>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</si>
  <si>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</si>
  <si>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</si>
  <si>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</si>
  <si>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</si>
  <si>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</si>
  <si>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</si>
  <si>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</si>
  <si>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</si>
  <si>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</si>
  <si>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</si>
  <si>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</si>
  <si>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</si>
  <si>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</si>
  <si>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</si>
  <si>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</si>
  <si>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</si>
  <si>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</si>
  <si>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</si>
  <si>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</si>
  <si>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</si>
  <si>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</si>
  <si>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</si>
  <si>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</si>
  <si>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</si>
  <si>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</si>
  <si>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</si>
  <si>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</si>
  <si>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</si>
  <si>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</si>
  <si>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</si>
  <si>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</si>
  <si>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</si>
  <si>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</si>
  <si>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</si>
  <si>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</si>
  <si>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</si>
  <si>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</si>
  <si>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</si>
  <si>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</si>
  <si>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</si>
  <si>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</si>
  <si>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</si>
  <si>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</si>
  <si>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</si>
  <si>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</si>
  <si>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</si>
  <si>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</si>
  <si>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</si>
  <si>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</si>
  <si>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</si>
  <si>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</si>
  <si>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</si>
  <si>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</si>
  <si>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</si>
  <si>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</si>
  <si>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</si>
  <si>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</si>
  <si>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</si>
  <si>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</si>
  <si>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</si>
  <si>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</si>
  <si>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</si>
  <si>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</si>
  <si>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</si>
  <si>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</si>
  <si>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</si>
  <si>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</si>
  <si>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</si>
  <si>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</si>
  <si>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</si>
  <si>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</si>
  <si>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</si>
  <si>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</si>
  <si>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</si>
  <si>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</si>
  <si>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</si>
  <si>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</si>
  <si>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</si>
  <si>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</si>
  <si>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</si>
  <si>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</si>
  <si>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</si>
  <si>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</si>
  <si>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</si>
  <si>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</si>
  <si>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</si>
  <si>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</si>
  <si>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</si>
  <si>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</si>
  <si>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</si>
  <si>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</si>
  <si>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</si>
  <si>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</si>
  <si>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</si>
  <si>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</si>
  <si>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</si>
  <si>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</si>
  <si>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</si>
  <si>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</si>
  <si>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</si>
  <si>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</si>
  <si>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</si>
  <si>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</si>
  <si>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</si>
  <si>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</si>
  <si>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</si>
  <si>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</si>
  <si>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</si>
  <si>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</si>
  <si>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</si>
  <si>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</si>
  <si>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</si>
  <si>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</si>
  <si>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</si>
  <si>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</si>
  <si>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</si>
  <si>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</si>
  <si>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</si>
  <si>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</si>
  <si>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</si>
  <si>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</si>
  <si>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</si>
  <si>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</si>
  <si>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</si>
  <si>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</si>
  <si>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</si>
  <si>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</si>
  <si>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</si>
  <si>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</si>
  <si>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</si>
  <si>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</si>
  <si>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</si>
  <si>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</si>
  <si>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</si>
  <si>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</si>
  <si>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</si>
  <si>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</si>
  <si>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</si>
  <si>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</si>
  <si>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</si>
  <si>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</si>
  <si>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</si>
  <si>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</si>
  <si>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</si>
  <si>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</si>
  <si>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</si>
  <si>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</si>
  <si>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</si>
  <si>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</si>
  <si>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</si>
  <si>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</si>
  <si>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</si>
  <si>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</si>
  <si>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</si>
  <si>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</si>
  <si>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</si>
  <si>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</si>
  <si>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</si>
  <si>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</si>
  <si>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</si>
  <si>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</si>
  <si>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</si>
  <si>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</si>
  <si>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</si>
  <si>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</si>
  <si>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</si>
  <si>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</si>
  <si>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</si>
  <si>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</si>
  <si>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</si>
  <si>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</si>
  <si>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</si>
  <si>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</si>
  <si>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</si>
  <si>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</si>
  <si>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</si>
  <si>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</si>
  <si>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</si>
  <si>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</si>
  <si>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</si>
  <si>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</si>
  <si>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</si>
  <si>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</si>
  <si>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</si>
  <si>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</si>
  <si>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</si>
  <si>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</si>
  <si>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</si>
  <si>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</si>
  <si>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</si>
  <si>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</si>
  <si>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</si>
  <si>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</si>
  <si>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</si>
  <si>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</si>
  <si>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</si>
  <si>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</si>
  <si>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</si>
  <si>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</si>
  <si>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</si>
  <si>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</si>
  <si>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</si>
  <si>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</si>
  <si>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</si>
  <si>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</si>
  <si>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</si>
  <si>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</si>
  <si>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</si>
  <si>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</si>
  <si>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</si>
  <si>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</si>
  <si>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</si>
  <si>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</si>
  <si>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</si>
  <si>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</si>
  <si>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</si>
  <si>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</si>
  <si>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</si>
  <si>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</si>
  <si>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</si>
  <si>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</si>
  <si>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</si>
  <si>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</si>
  <si>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</si>
  <si>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</si>
  <si>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</si>
  <si>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</si>
  <si>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</si>
  <si>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</si>
  <si>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</si>
  <si>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</si>
  <si>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</si>
  <si>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</si>
  <si>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</si>
  <si>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</si>
  <si>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</si>
  <si>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</si>
  <si>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</si>
  <si>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</si>
  <si>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</si>
  <si>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</si>
  <si>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</si>
  <si>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</si>
  <si>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</si>
  <si>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</si>
  <si>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</si>
  <si>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</si>
  <si>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</si>
  <si>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</si>
  <si>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</si>
  <si>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</si>
  <si>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</si>
  <si>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</si>
  <si>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</si>
  <si>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</si>
  <si>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</si>
  <si>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</si>
  <si>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</si>
  <si>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</si>
  <si>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</si>
  <si>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</si>
  <si>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</si>
  <si>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</si>
  <si>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</si>
  <si>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</si>
  <si>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</si>
  <si>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</si>
  <si>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</si>
  <si>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</si>
  <si>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</si>
  <si>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</si>
  <si>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</si>
  <si>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</si>
  <si>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</si>
  <si>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</si>
  <si>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</si>
  <si>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</si>
  <si>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</si>
  <si>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</si>
  <si>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</si>
  <si>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</si>
  <si>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</si>
  <si>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</si>
  <si>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</si>
  <si>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</si>
  <si>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</si>
  <si>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</si>
  <si>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</si>
  <si>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</si>
  <si>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</si>
  <si>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</si>
  <si>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</si>
  <si>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</si>
  <si>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</si>
  <si>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</si>
  <si>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</si>
  <si>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</si>
  <si>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</si>
  <si>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</si>
  <si>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</si>
  <si>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</si>
  <si>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</si>
  <si>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</si>
  <si>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</si>
  <si>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</si>
  <si>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</si>
  <si>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</si>
  <si>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</si>
  <si>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</si>
  <si>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</si>
  <si>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</si>
  <si>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</si>
  <si>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</si>
  <si>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</si>
  <si>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</si>
  <si>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</si>
  <si>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</si>
  <si>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</si>
  <si>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</si>
  <si>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</si>
  <si>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</si>
  <si>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</si>
  <si>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</si>
  <si>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</si>
  <si>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</si>
  <si>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</si>
  <si>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</si>
  <si>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</si>
  <si>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</si>
  <si>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</si>
  <si>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</si>
  <si>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</si>
  <si>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</si>
  <si>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</si>
  <si>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</si>
  <si>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</si>
  <si>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</si>
  <si>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</si>
  <si>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</si>
  <si>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</si>
  <si>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</si>
  <si>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</si>
  <si>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</si>
  <si>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</si>
  <si>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</si>
  <si>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</si>
  <si>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</si>
  <si>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</si>
  <si>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</si>
  <si>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</si>
  <si>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</si>
  <si>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</si>
  <si>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</si>
  <si>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</si>
  <si>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</si>
  <si>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</si>
  <si>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</si>
  <si>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</si>
  <si>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</si>
  <si>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</si>
  <si>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</si>
  <si>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</si>
  <si>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</si>
  <si>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</si>
  <si>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</si>
  <si>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</si>
  <si>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</si>
  <si>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</si>
  <si>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</si>
  <si>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</si>
  <si>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</si>
  <si>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</si>
  <si>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</si>
  <si>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</si>
  <si>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</si>
  <si>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</si>
  <si>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</si>
  <si>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</si>
  <si>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</si>
  <si>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</si>
  <si>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</si>
  <si>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</si>
  <si>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</si>
  <si>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</si>
  <si>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</si>
  <si>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</si>
  <si>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</si>
  <si>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</si>
  <si>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</si>
  <si>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</si>
  <si>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</si>
  <si>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</si>
  <si>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</si>
  <si>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</si>
  <si>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</si>
  <si>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</si>
  <si>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</si>
  <si>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</si>
  <si>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</si>
  <si>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</si>
  <si>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</si>
  <si>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</si>
  <si>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</si>
  <si>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</si>
  <si>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</si>
  <si>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</si>
  <si>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</si>
  <si>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</si>
  <si>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</si>
  <si>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</si>
  <si>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</si>
  <si>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</si>
  <si>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</si>
  <si>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</si>
  <si>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</si>
  <si>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</si>
  <si>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</si>
  <si>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</si>
  <si>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</si>
  <si>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</si>
  <si>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</si>
  <si>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</si>
  <si>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</si>
  <si>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</si>
  <si>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</si>
  <si>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</si>
  <si>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</si>
  <si>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</si>
  <si>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</si>
  <si>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</si>
  <si>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</si>
  <si>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</si>
  <si>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</si>
  <si>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</si>
  <si>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</si>
  <si>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</si>
  <si>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</si>
  <si>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</si>
  <si>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</si>
  <si>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</si>
  <si>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</si>
  <si>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</si>
  <si>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</si>
  <si>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</si>
  <si>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</si>
  <si>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</si>
  <si>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</si>
  <si>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</si>
  <si>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</si>
  <si>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</si>
  <si>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</si>
  <si>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</si>
  <si>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</si>
  <si>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</si>
  <si>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</si>
  <si>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</si>
  <si>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</si>
  <si>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</si>
  <si>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</si>
  <si>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</si>
  <si>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</si>
  <si>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</si>
  <si>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</si>
  <si>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</si>
  <si>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</si>
  <si>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</si>
  <si>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</si>
  <si>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</si>
  <si>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</si>
  <si>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</si>
  <si>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</si>
  <si>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</si>
  <si>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</si>
  <si>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</si>
  <si>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</si>
  <si>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</si>
  <si>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</si>
  <si>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</si>
  <si>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</si>
  <si>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</si>
  <si>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</si>
  <si>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</si>
  <si>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</si>
  <si>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</si>
  <si>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</si>
  <si>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</si>
  <si>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</si>
  <si>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</si>
  <si>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</si>
  <si>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</si>
  <si>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</si>
  <si>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</si>
  <si>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</si>
  <si>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</si>
  <si>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</si>
  <si>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</si>
  <si>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</si>
  <si>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</si>
  <si>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</si>
  <si>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</si>
  <si>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</si>
  <si>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</si>
  <si>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</si>
  <si>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</si>
  <si>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</si>
  <si>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</si>
  <si>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</si>
  <si>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</si>
  <si>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</si>
  <si>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</si>
  <si>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</si>
  <si>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</si>
  <si>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</si>
  <si>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</si>
  <si>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</si>
  <si>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</si>
  <si>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</si>
  <si>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</si>
  <si>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</si>
  <si>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</si>
  <si>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</si>
  <si>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</si>
  <si>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</si>
  <si>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</si>
  <si>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</si>
  <si>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</si>
  <si>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</si>
  <si>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</si>
  <si>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</si>
  <si>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</si>
  <si>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</si>
  <si>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</si>
  <si>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</si>
  <si>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</si>
  <si>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</si>
  <si>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</si>
  <si>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</si>
  <si>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</si>
  <si>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</si>
  <si>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</si>
  <si>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</si>
  <si>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</si>
  <si>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</si>
  <si>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</si>
  <si>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</si>
  <si>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</si>
  <si>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</si>
  <si>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</si>
  <si>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</si>
  <si>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</si>
  <si>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</si>
  <si>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</si>
  <si>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</si>
  <si>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</si>
  <si>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</si>
  <si>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</si>
  <si>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</si>
  <si>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</si>
  <si>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</si>
  <si>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</si>
  <si>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</si>
  <si>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</si>
  <si>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</si>
  <si>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</si>
  <si>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</si>
  <si>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</si>
  <si>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</si>
  <si>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</si>
  <si>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</si>
  <si>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</si>
  <si>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</si>
  <si>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</si>
  <si>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</si>
  <si>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</si>
  <si>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Deerfield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</si>
</sst>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90" zoomScaleNormal="90" workbookViewId="0">
      <pane xSplit="5" ySplit="3" topLeftCell="F602" activePane="bottomRight" state="frozen"/>
      <selection pane="topRight" activeCell="F1" sqref="F1"/>
      <selection pane="bottomLeft" activeCell="A4" sqref="A4"/>
      <selection pane="bottomRight" activeCell="F48" sqref="F48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127</v>
      </c>
      <c r="C2" s="21">
        <v>127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708237.23</v>
      </c>
      <c r="G9" s="18"/>
      <c r="H9" s="18"/>
      <c r="I9" s="18"/>
      <c r="J9" s="67">
        <f>SUM(I439)</f>
        <v>429898.58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38623.26</v>
      </c>
      <c r="G12" s="18">
        <v>147.62</v>
      </c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61036.52</v>
      </c>
      <c r="G13" s="18">
        <v>3867.29</v>
      </c>
      <c r="H13" s="18">
        <v>38687.480000000003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6401.49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0</v>
      </c>
      <c r="G17" s="18">
        <v>0</v>
      </c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807897.01</v>
      </c>
      <c r="G19" s="41">
        <f>SUM(G9:G18)</f>
        <v>10416.4</v>
      </c>
      <c r="H19" s="41">
        <f>SUM(H9:H18)</f>
        <v>38687.480000000003</v>
      </c>
      <c r="I19" s="41">
        <f>SUM(I9:I18)</f>
        <v>0</v>
      </c>
      <c r="J19" s="41">
        <f>SUM(J9:J18)</f>
        <v>429898.58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 t="s">
        <v>287</v>
      </c>
      <c r="H22" s="18">
        <v>37970.879999999997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229908.02</v>
      </c>
      <c r="G23" s="18">
        <v>416.4</v>
      </c>
      <c r="H23" s="18">
        <v>716.6</v>
      </c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0</v>
      </c>
      <c r="G24" s="18">
        <v>0</v>
      </c>
      <c r="H24" s="18">
        <v>0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17493.64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0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0</v>
      </c>
      <c r="G30" s="18"/>
      <c r="H30" s="18">
        <v>0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247401.65999999997</v>
      </c>
      <c r="G32" s="41">
        <f>SUM(G22:G31)</f>
        <v>416.4</v>
      </c>
      <c r="H32" s="41">
        <f>SUM(H22:H31)</f>
        <v>38687.479999999996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35000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v>190000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>
        <v>10000</v>
      </c>
      <c r="H48" s="18"/>
      <c r="I48" s="18"/>
      <c r="J48" s="13">
        <f>SUM(I459)</f>
        <v>429898.58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335495.34999999998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560495.35</v>
      </c>
      <c r="G51" s="41">
        <f>SUM(G35:G50)</f>
        <v>10000</v>
      </c>
      <c r="H51" s="41">
        <f>SUM(H35:H50)</f>
        <v>0</v>
      </c>
      <c r="I51" s="41">
        <f>SUM(I35:I50)</f>
        <v>0</v>
      </c>
      <c r="J51" s="41">
        <f>SUM(J35:J50)</f>
        <v>429898.58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807897.01</v>
      </c>
      <c r="G52" s="41">
        <f>G51+G32</f>
        <v>10416.4</v>
      </c>
      <c r="H52" s="41">
        <f>H51+H32</f>
        <v>38687.479999999996</v>
      </c>
      <c r="I52" s="41">
        <f>I51+I32</f>
        <v>0</v>
      </c>
      <c r="J52" s="41">
        <f>J51+J32</f>
        <v>429898.58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8637194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8637194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21629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0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0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21629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0</v>
      </c>
      <c r="G96" s="18"/>
      <c r="H96" s="18"/>
      <c r="I96" s="18"/>
      <c r="J96" s="18">
        <v>3.29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78547.320000000007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0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>
        <v>0</v>
      </c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9391.67</v>
      </c>
      <c r="G110" s="18">
        <v>1889.24</v>
      </c>
      <c r="H110" s="18"/>
      <c r="I110" s="18"/>
      <c r="J110" s="18">
        <v>38.83</v>
      </c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9391.67</v>
      </c>
      <c r="G111" s="41">
        <f>SUM(G96:G110)</f>
        <v>80436.560000000012</v>
      </c>
      <c r="H111" s="41">
        <f>SUM(H96:H110)</f>
        <v>0</v>
      </c>
      <c r="I111" s="41">
        <f>SUM(I96:I110)</f>
        <v>0</v>
      </c>
      <c r="J111" s="41">
        <f>SUM(J96:J110)</f>
        <v>42.12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8668214.6699999999</v>
      </c>
      <c r="G112" s="41">
        <f>G60+G111</f>
        <v>80436.560000000012</v>
      </c>
      <c r="H112" s="41">
        <f>H60+H79+H94+H111</f>
        <v>0</v>
      </c>
      <c r="I112" s="41">
        <f>I60+I111</f>
        <v>0</v>
      </c>
      <c r="J112" s="41">
        <f>J60+J111</f>
        <v>42.12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1723359.8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1103256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>
        <v>1881.98</v>
      </c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2828497.78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0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14257.76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178.38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>
        <v>0</v>
      </c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14257.76</v>
      </c>
      <c r="G136" s="41">
        <f>SUM(G123:G135)</f>
        <v>178.38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2842755.5399999996</v>
      </c>
      <c r="G140" s="41">
        <f>G121+SUM(G136:G137)</f>
        <v>178.38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42411.27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53675.28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57967.59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>
        <v>121568.7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128038.83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>
        <v>0</v>
      </c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249607.53</v>
      </c>
      <c r="G162" s="41">
        <f>SUM(G150:G161)</f>
        <v>57967.59</v>
      </c>
      <c r="H162" s="41">
        <f>SUM(H150:H161)</f>
        <v>96086.549999999988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249607.53</v>
      </c>
      <c r="G169" s="41">
        <f>G147+G162+SUM(G163:G168)</f>
        <v>57967.59</v>
      </c>
      <c r="H169" s="41">
        <f>H147+H162+SUM(H163:H168)</f>
        <v>96086.549999999988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23733.38</v>
      </c>
      <c r="H179" s="18"/>
      <c r="I179" s="18"/>
      <c r="J179" s="18">
        <v>70000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23733.38</v>
      </c>
      <c r="H183" s="41">
        <f>SUM(H179:H182)</f>
        <v>0</v>
      </c>
      <c r="I183" s="41">
        <f>SUM(I179:I182)</f>
        <v>0</v>
      </c>
      <c r="J183" s="41">
        <f>SUM(J179:J182)</f>
        <v>70000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>
        <v>30954</v>
      </c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30954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30954</v>
      </c>
      <c r="G192" s="41">
        <f>G183+SUM(G188:G191)</f>
        <v>23733.38</v>
      </c>
      <c r="H192" s="41">
        <f>+H183+SUM(H188:H191)</f>
        <v>0</v>
      </c>
      <c r="I192" s="41">
        <f>I177+I183+SUM(I188:I191)</f>
        <v>0</v>
      </c>
      <c r="J192" s="41">
        <f>J183</f>
        <v>70000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11791531.739999998</v>
      </c>
      <c r="G193" s="47">
        <f>G112+G140+G169+G192</f>
        <v>162315.91000000003</v>
      </c>
      <c r="H193" s="47">
        <f>H112+H140+H169+H192</f>
        <v>96086.549999999988</v>
      </c>
      <c r="I193" s="47">
        <f>I112+I140+I169+I192</f>
        <v>0</v>
      </c>
      <c r="J193" s="47">
        <f>J112+J140+J192</f>
        <v>70042.12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2370666.2400000002</v>
      </c>
      <c r="G197" s="18">
        <v>999846.40000000002</v>
      </c>
      <c r="H197" s="18">
        <v>15746.04</v>
      </c>
      <c r="I197" s="18">
        <v>81201.3</v>
      </c>
      <c r="J197" s="18">
        <v>47302.38</v>
      </c>
      <c r="K197" s="18"/>
      <c r="L197" s="19">
        <f>SUM(F197:K197)</f>
        <v>3514762.36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1400363.17</v>
      </c>
      <c r="G198" s="18">
        <v>590594.63</v>
      </c>
      <c r="H198" s="18">
        <v>55281.53</v>
      </c>
      <c r="I198" s="18">
        <v>4183.2700000000004</v>
      </c>
      <c r="J198" s="18">
        <v>2378.5</v>
      </c>
      <c r="K198" s="18"/>
      <c r="L198" s="19">
        <f>SUM(F198:K198)</f>
        <v>2052801.0999999999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16000</v>
      </c>
      <c r="G200" s="18">
        <v>6814.55</v>
      </c>
      <c r="H200" s="18">
        <v>4379.8999999999996</v>
      </c>
      <c r="I200" s="18">
        <v>4784.03</v>
      </c>
      <c r="J200" s="18"/>
      <c r="K200" s="18"/>
      <c r="L200" s="19">
        <f>SUM(F200:K200)</f>
        <v>31978.479999999996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173265.2</v>
      </c>
      <c r="G202" s="18">
        <v>73067.149999999994</v>
      </c>
      <c r="H202" s="18">
        <v>241800.55</v>
      </c>
      <c r="I202" s="18">
        <v>1373.68</v>
      </c>
      <c r="J202" s="18">
        <v>0</v>
      </c>
      <c r="K202" s="18">
        <v>0</v>
      </c>
      <c r="L202" s="19">
        <f t="shared" ref="L202:L208" si="0">SUM(F202:K202)</f>
        <v>489506.58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82389.600000000006</v>
      </c>
      <c r="G203" s="18">
        <v>58404.69</v>
      </c>
      <c r="H203" s="18">
        <v>17211.86</v>
      </c>
      <c r="I203" s="18">
        <v>7897.77</v>
      </c>
      <c r="J203" s="18">
        <v>0</v>
      </c>
      <c r="K203" s="18">
        <v>560</v>
      </c>
      <c r="L203" s="19">
        <f t="shared" si="0"/>
        <v>166463.92000000001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3837.5</v>
      </c>
      <c r="G204" s="18">
        <v>1325.05</v>
      </c>
      <c r="H204" s="18">
        <v>292402.96000000002</v>
      </c>
      <c r="I204" s="18">
        <v>774.35</v>
      </c>
      <c r="J204" s="18"/>
      <c r="K204" s="18">
        <v>8698.0499999999993</v>
      </c>
      <c r="L204" s="19">
        <f t="shared" si="0"/>
        <v>307037.90999999997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281190.75</v>
      </c>
      <c r="G205" s="18">
        <v>119352.8</v>
      </c>
      <c r="H205" s="18">
        <v>47894.71</v>
      </c>
      <c r="I205" s="18">
        <v>2204.17</v>
      </c>
      <c r="J205" s="18">
        <v>836</v>
      </c>
      <c r="K205" s="18">
        <v>2798.25</v>
      </c>
      <c r="L205" s="19">
        <f t="shared" si="0"/>
        <v>454276.68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160860.79</v>
      </c>
      <c r="G207" s="18">
        <v>67766.94</v>
      </c>
      <c r="H207" s="18">
        <v>137152.53</v>
      </c>
      <c r="I207" s="18">
        <v>142763.01999999999</v>
      </c>
      <c r="J207" s="18">
        <v>9855.35</v>
      </c>
      <c r="K207" s="18"/>
      <c r="L207" s="19">
        <f t="shared" si="0"/>
        <v>518398.63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455764.33</v>
      </c>
      <c r="I208" s="18"/>
      <c r="J208" s="18"/>
      <c r="K208" s="18"/>
      <c r="L208" s="19">
        <f t="shared" si="0"/>
        <v>455764.33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4488573.2500000009</v>
      </c>
      <c r="G211" s="41">
        <f t="shared" si="1"/>
        <v>1917172.21</v>
      </c>
      <c r="H211" s="41">
        <f t="shared" si="1"/>
        <v>1267634.4100000001</v>
      </c>
      <c r="I211" s="41">
        <f t="shared" si="1"/>
        <v>245181.59</v>
      </c>
      <c r="J211" s="41">
        <f t="shared" si="1"/>
        <v>60372.229999999996</v>
      </c>
      <c r="K211" s="41">
        <f t="shared" si="1"/>
        <v>12056.3</v>
      </c>
      <c r="L211" s="41">
        <f t="shared" si="1"/>
        <v>7990989.9900000002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2544477.54</v>
      </c>
      <c r="I233" s="18"/>
      <c r="J233" s="18"/>
      <c r="K233" s="18"/>
      <c r="L233" s="19">
        <f>SUM(F233:K233)</f>
        <v>2544477.54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v>649180.24</v>
      </c>
      <c r="I234" s="18"/>
      <c r="J234" s="18"/>
      <c r="K234" s="18"/>
      <c r="L234" s="19">
        <f>SUM(F234:K234)</f>
        <v>649180.24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>
        <v>4067.32</v>
      </c>
      <c r="I238" s="18"/>
      <c r="J238" s="18"/>
      <c r="K238" s="18"/>
      <c r="L238" s="19">
        <f t="shared" ref="L238:L244" si="4">SUM(F238:K238)</f>
        <v>4067.32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205748.07</v>
      </c>
      <c r="I244" s="18"/>
      <c r="J244" s="18"/>
      <c r="K244" s="18"/>
      <c r="L244" s="19">
        <f t="shared" si="4"/>
        <v>205748.07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3403473.17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3403473.17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v>32312</v>
      </c>
      <c r="I255" s="18"/>
      <c r="J255" s="18"/>
      <c r="K255" s="18"/>
      <c r="L255" s="19">
        <f t="shared" si="6"/>
        <v>32312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32312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32312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4488573.2500000009</v>
      </c>
      <c r="G257" s="41">
        <f t="shared" si="8"/>
        <v>1917172.21</v>
      </c>
      <c r="H257" s="41">
        <f t="shared" si="8"/>
        <v>4703419.58</v>
      </c>
      <c r="I257" s="41">
        <f t="shared" si="8"/>
        <v>245181.59</v>
      </c>
      <c r="J257" s="41">
        <f t="shared" si="8"/>
        <v>60372.229999999996</v>
      </c>
      <c r="K257" s="41">
        <f t="shared" si="8"/>
        <v>12056.3</v>
      </c>
      <c r="L257" s="41">
        <f t="shared" si="8"/>
        <v>11426775.16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0</v>
      </c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0</v>
      </c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23733.38</v>
      </c>
      <c r="L263" s="19">
        <f>SUM(F263:K263)</f>
        <v>23733.38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70000</v>
      </c>
      <c r="L266" s="19">
        <f t="shared" si="9"/>
        <v>70000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>
        <v>10560.26</v>
      </c>
      <c r="L268" s="19">
        <f t="shared" si="9"/>
        <v>10560.26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104293.64</v>
      </c>
      <c r="L270" s="41">
        <f t="shared" si="9"/>
        <v>104293.64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4488573.2500000009</v>
      </c>
      <c r="G271" s="42">
        <f t="shared" si="11"/>
        <v>1917172.21</v>
      </c>
      <c r="H271" s="42">
        <f t="shared" si="11"/>
        <v>4703419.58</v>
      </c>
      <c r="I271" s="42">
        <f t="shared" si="11"/>
        <v>245181.59</v>
      </c>
      <c r="J271" s="42">
        <f t="shared" si="11"/>
        <v>60372.229999999996</v>
      </c>
      <c r="K271" s="42">
        <f t="shared" si="11"/>
        <v>116349.94</v>
      </c>
      <c r="L271" s="42">
        <f t="shared" si="11"/>
        <v>11531068.800000001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58407.65</v>
      </c>
      <c r="G276" s="18">
        <v>7314.1</v>
      </c>
      <c r="H276" s="18">
        <v>0</v>
      </c>
      <c r="I276" s="18">
        <v>133.31</v>
      </c>
      <c r="J276" s="18">
        <v>0</v>
      </c>
      <c r="K276" s="18"/>
      <c r="L276" s="19">
        <f>SUM(F276:K276)</f>
        <v>65855.06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>
        <v>0</v>
      </c>
      <c r="I277" s="18">
        <v>0</v>
      </c>
      <c r="J277" s="18">
        <v>0</v>
      </c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23650</v>
      </c>
      <c r="G281" s="18">
        <v>3240.82</v>
      </c>
      <c r="H281" s="18">
        <v>0</v>
      </c>
      <c r="I281" s="18">
        <v>0</v>
      </c>
      <c r="J281" s="18"/>
      <c r="K281" s="18"/>
      <c r="L281" s="19">
        <f t="shared" ref="L281:L287" si="12">SUM(F281:K281)</f>
        <v>26890.82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1445</v>
      </c>
      <c r="G282" s="18">
        <v>295.38</v>
      </c>
      <c r="H282" s="18">
        <v>0</v>
      </c>
      <c r="I282" s="18">
        <v>0</v>
      </c>
      <c r="J282" s="18"/>
      <c r="K282" s="18"/>
      <c r="L282" s="19">
        <f t="shared" si="12"/>
        <v>1740.38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>
        <v>1600.29</v>
      </c>
      <c r="L283" s="19">
        <f t="shared" si="12"/>
        <v>1600.29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>
        <v>0</v>
      </c>
      <c r="G284" s="18">
        <v>0</v>
      </c>
      <c r="H284" s="18">
        <v>0</v>
      </c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>
        <v>0</v>
      </c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83502.649999999994</v>
      </c>
      <c r="G290" s="42">
        <f t="shared" si="13"/>
        <v>10850.3</v>
      </c>
      <c r="H290" s="42">
        <f t="shared" si="13"/>
        <v>0</v>
      </c>
      <c r="I290" s="42">
        <f t="shared" si="13"/>
        <v>133.31</v>
      </c>
      <c r="J290" s="42">
        <f t="shared" si="13"/>
        <v>0</v>
      </c>
      <c r="K290" s="42">
        <f t="shared" si="13"/>
        <v>1600.29</v>
      </c>
      <c r="L290" s="41">
        <f t="shared" si="13"/>
        <v>96086.55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83502.649999999994</v>
      </c>
      <c r="G338" s="41">
        <f t="shared" si="20"/>
        <v>10850.3</v>
      </c>
      <c r="H338" s="41">
        <f t="shared" si="20"/>
        <v>0</v>
      </c>
      <c r="I338" s="41">
        <f t="shared" si="20"/>
        <v>133.31</v>
      </c>
      <c r="J338" s="41">
        <f t="shared" si="20"/>
        <v>0</v>
      </c>
      <c r="K338" s="41">
        <f t="shared" si="20"/>
        <v>1600.29</v>
      </c>
      <c r="L338" s="41">
        <f t="shared" si="20"/>
        <v>96086.55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83502.649999999994</v>
      </c>
      <c r="G352" s="41">
        <f>G338</f>
        <v>10850.3</v>
      </c>
      <c r="H352" s="41">
        <f>H338</f>
        <v>0</v>
      </c>
      <c r="I352" s="41">
        <f>I338</f>
        <v>133.31</v>
      </c>
      <c r="J352" s="41">
        <f>J338</f>
        <v>0</v>
      </c>
      <c r="K352" s="47">
        <f>K338+K351</f>
        <v>1600.29</v>
      </c>
      <c r="L352" s="41">
        <f>L338+L351</f>
        <v>96086.55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67296.44</v>
      </c>
      <c r="G358" s="18">
        <v>22225.34</v>
      </c>
      <c r="H358" s="18">
        <v>3250.15</v>
      </c>
      <c r="I358" s="18">
        <v>69543.98</v>
      </c>
      <c r="J358" s="18">
        <v>0</v>
      </c>
      <c r="K358" s="18">
        <v>0</v>
      </c>
      <c r="L358" s="13">
        <f>SUM(F358:K358)</f>
        <v>162315.90999999997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67296.44</v>
      </c>
      <c r="G362" s="47">
        <f t="shared" si="22"/>
        <v>22225.34</v>
      </c>
      <c r="H362" s="47">
        <f t="shared" si="22"/>
        <v>3250.15</v>
      </c>
      <c r="I362" s="47">
        <f t="shared" si="22"/>
        <v>69543.98</v>
      </c>
      <c r="J362" s="47">
        <f t="shared" si="22"/>
        <v>0</v>
      </c>
      <c r="K362" s="47">
        <f t="shared" si="22"/>
        <v>0</v>
      </c>
      <c r="L362" s="47">
        <f t="shared" si="22"/>
        <v>162315.90999999997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63799.47</v>
      </c>
      <c r="G367" s="18"/>
      <c r="H367" s="18"/>
      <c r="I367" s="56">
        <f>SUM(F367:H367)</f>
        <v>63799.47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5744.51</v>
      </c>
      <c r="G368" s="63"/>
      <c r="H368" s="63"/>
      <c r="I368" s="56">
        <f>SUM(F368:H368)</f>
        <v>5744.51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69543.98</v>
      </c>
      <c r="G369" s="47">
        <f>SUM(G367:G368)</f>
        <v>0</v>
      </c>
      <c r="H369" s="47">
        <f>SUM(H367:H368)</f>
        <v>0</v>
      </c>
      <c r="I369" s="47">
        <f>SUM(I367:I368)</f>
        <v>69543.98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25000</v>
      </c>
      <c r="H396" s="18">
        <v>1.4</v>
      </c>
      <c r="I396" s="18">
        <v>16.07</v>
      </c>
      <c r="J396" s="24" t="s">
        <v>289</v>
      </c>
      <c r="K396" s="24" t="s">
        <v>289</v>
      </c>
      <c r="L396" s="56">
        <f t="shared" si="26"/>
        <v>25017.47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v>1.59</v>
      </c>
      <c r="I397" s="18">
        <v>18.7</v>
      </c>
      <c r="J397" s="24" t="s">
        <v>289</v>
      </c>
      <c r="K397" s="24" t="s">
        <v>289</v>
      </c>
      <c r="L397" s="56">
        <f t="shared" si="26"/>
        <v>20.29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>
        <v>10000</v>
      </c>
      <c r="H399" s="18">
        <v>0.08</v>
      </c>
      <c r="I399" s="18">
        <v>0.74</v>
      </c>
      <c r="J399" s="24" t="s">
        <v>289</v>
      </c>
      <c r="K399" s="24" t="s">
        <v>289</v>
      </c>
      <c r="L399" s="56">
        <f t="shared" si="26"/>
        <v>10000.82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>
        <v>35000</v>
      </c>
      <c r="H400" s="18">
        <v>0.22</v>
      </c>
      <c r="I400" s="18">
        <v>3.32</v>
      </c>
      <c r="J400" s="24" t="s">
        <v>289</v>
      </c>
      <c r="K400" s="24" t="s">
        <v>289</v>
      </c>
      <c r="L400" s="56">
        <f t="shared" si="26"/>
        <v>35003.54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70000</v>
      </c>
      <c r="H401" s="47">
        <f>SUM(H395:H400)</f>
        <v>3.2900000000000005</v>
      </c>
      <c r="I401" s="47">
        <f>SUM(I395:I400)</f>
        <v>38.83</v>
      </c>
      <c r="J401" s="45" t="s">
        <v>289</v>
      </c>
      <c r="K401" s="45" t="s">
        <v>289</v>
      </c>
      <c r="L401" s="47">
        <f>SUM(L395:L400)</f>
        <v>70042.12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70000</v>
      </c>
      <c r="H408" s="47">
        <f>H393+H401+H407</f>
        <v>3.2900000000000005</v>
      </c>
      <c r="I408" s="47">
        <f>I393+I401+I407</f>
        <v>38.83</v>
      </c>
      <c r="J408" s="24" t="s">
        <v>289</v>
      </c>
      <c r="K408" s="24" t="s">
        <v>289</v>
      </c>
      <c r="L408" s="47">
        <f>L393+L401+L407</f>
        <v>70042.12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 t="s">
        <v>287</v>
      </c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>
        <v>30954</v>
      </c>
      <c r="L426" s="56">
        <f t="shared" si="29"/>
        <v>30954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30954</v>
      </c>
      <c r="L427" s="47">
        <f t="shared" si="30"/>
        <v>30954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30954</v>
      </c>
      <c r="L434" s="47">
        <f t="shared" si="32"/>
        <v>30954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>
        <v>429898.58</v>
      </c>
      <c r="H439" s="18"/>
      <c r="I439" s="56">
        <f t="shared" ref="I439:I445" si="33">SUM(F439:H439)</f>
        <v>429898.58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429898.58</v>
      </c>
      <c r="H446" s="13">
        <f>SUM(H439:H445)</f>
        <v>0</v>
      </c>
      <c r="I446" s="13">
        <f>SUM(I439:I445)</f>
        <v>429898.58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429898.58</v>
      </c>
      <c r="H459" s="18"/>
      <c r="I459" s="56">
        <f t="shared" si="34"/>
        <v>429898.58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429898.58</v>
      </c>
      <c r="H460" s="83">
        <f>SUM(H454:H459)</f>
        <v>0</v>
      </c>
      <c r="I460" s="83">
        <f>SUM(I454:I459)</f>
        <v>429898.58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429898.58</v>
      </c>
      <c r="H461" s="42">
        <f>H452+H460</f>
        <v>0</v>
      </c>
      <c r="I461" s="42">
        <f>I452+I460</f>
        <v>429898.58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300032.40999999997</v>
      </c>
      <c r="G465" s="18">
        <v>10000</v>
      </c>
      <c r="H465" s="18"/>
      <c r="I465" s="18"/>
      <c r="J465" s="18">
        <v>390810.46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11791531.74</v>
      </c>
      <c r="G468" s="18">
        <v>162315.91</v>
      </c>
      <c r="H468" s="18">
        <v>96086.55</v>
      </c>
      <c r="I468" s="18"/>
      <c r="J468" s="18">
        <v>70042.12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11791531.74</v>
      </c>
      <c r="G470" s="53">
        <f>SUM(G468:G469)</f>
        <v>162315.91</v>
      </c>
      <c r="H470" s="53">
        <f>SUM(H468:H469)</f>
        <v>96086.55</v>
      </c>
      <c r="I470" s="53">
        <f>SUM(I468:I469)</f>
        <v>0</v>
      </c>
      <c r="J470" s="53">
        <f>SUM(J468:J469)</f>
        <v>70042.12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11531068.800000001</v>
      </c>
      <c r="G472" s="18">
        <v>162315.91</v>
      </c>
      <c r="H472" s="18">
        <v>96086.55</v>
      </c>
      <c r="I472" s="18"/>
      <c r="J472" s="18">
        <v>30954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11531068.800000001</v>
      </c>
      <c r="G474" s="53">
        <f>SUM(G472:G473)</f>
        <v>162315.91</v>
      </c>
      <c r="H474" s="53">
        <f>SUM(H472:H473)</f>
        <v>96086.55</v>
      </c>
      <c r="I474" s="53">
        <f>SUM(I472:I473)</f>
        <v>0</v>
      </c>
      <c r="J474" s="53">
        <f>SUM(J472:J473)</f>
        <v>30954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560495.34999999963</v>
      </c>
      <c r="G476" s="53">
        <f>(G465+G470)- G474</f>
        <v>10000</v>
      </c>
      <c r="H476" s="53">
        <f>(H465+H470)- H474</f>
        <v>0</v>
      </c>
      <c r="I476" s="53">
        <f>(I465+I470)- I474</f>
        <v>0</v>
      </c>
      <c r="J476" s="53">
        <f>(J465+J470)- J474</f>
        <v>429898.58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>
        <v>20205.650000000001</v>
      </c>
      <c r="G507" s="144"/>
      <c r="H507" s="144">
        <v>2712.01</v>
      </c>
      <c r="I507" s="144">
        <v>17493.64</v>
      </c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1400363.17</v>
      </c>
      <c r="G521" s="18">
        <v>590798.75</v>
      </c>
      <c r="H521" s="18">
        <v>51306.7</v>
      </c>
      <c r="I521" s="18">
        <v>8158.1</v>
      </c>
      <c r="J521" s="18">
        <v>2378.5</v>
      </c>
      <c r="K521" s="18"/>
      <c r="L521" s="88">
        <f>SUM(F521:K521)</f>
        <v>2053005.22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>
        <v>649180.24</v>
      </c>
      <c r="I523" s="18"/>
      <c r="J523" s="18"/>
      <c r="K523" s="18"/>
      <c r="L523" s="88">
        <f>SUM(F523:K523)</f>
        <v>649180.24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1400363.17</v>
      </c>
      <c r="G524" s="108">
        <f t="shared" ref="G524:L524" si="36">SUM(G521:G523)</f>
        <v>590798.75</v>
      </c>
      <c r="H524" s="108">
        <f t="shared" si="36"/>
        <v>700486.94</v>
      </c>
      <c r="I524" s="108">
        <f t="shared" si="36"/>
        <v>8158.1</v>
      </c>
      <c r="J524" s="108">
        <f t="shared" si="36"/>
        <v>2378.5</v>
      </c>
      <c r="K524" s="108">
        <f t="shared" si="36"/>
        <v>0</v>
      </c>
      <c r="L524" s="89">
        <f t="shared" si="36"/>
        <v>2702185.46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>
        <v>235480.07</v>
      </c>
      <c r="I526" s="18"/>
      <c r="J526" s="18"/>
      <c r="K526" s="18"/>
      <c r="L526" s="88">
        <f>SUM(F526:K526)</f>
        <v>235480.07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>
        <v>4067.32</v>
      </c>
      <c r="I528" s="18"/>
      <c r="J528" s="18"/>
      <c r="K528" s="18"/>
      <c r="L528" s="88">
        <f>SUM(F528:K528)</f>
        <v>4067.32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239547.39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239547.39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13679.92</v>
      </c>
      <c r="G531" s="18">
        <v>6852.4</v>
      </c>
      <c r="H531" s="18">
        <v>460.8</v>
      </c>
      <c r="I531" s="18"/>
      <c r="J531" s="18"/>
      <c r="K531" s="18"/>
      <c r="L531" s="88">
        <f>SUM(F531:K531)</f>
        <v>20993.119999999999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3419.98</v>
      </c>
      <c r="G533" s="18">
        <v>1713.11</v>
      </c>
      <c r="H533" s="18">
        <v>115.2</v>
      </c>
      <c r="I533" s="18"/>
      <c r="J533" s="18"/>
      <c r="K533" s="18"/>
      <c r="L533" s="88">
        <f>SUM(F533:K533)</f>
        <v>5248.29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17099.900000000001</v>
      </c>
      <c r="G534" s="89">
        <f t="shared" ref="G534:L534" si="38">SUM(G531:G533)</f>
        <v>8565.51</v>
      </c>
      <c r="H534" s="89">
        <f t="shared" si="38"/>
        <v>576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26241.41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116881.02</v>
      </c>
      <c r="I541" s="18"/>
      <c r="J541" s="18"/>
      <c r="K541" s="18"/>
      <c r="L541" s="88">
        <f>SUM(F541:K541)</f>
        <v>116881.02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46272.47</v>
      </c>
      <c r="I543" s="18"/>
      <c r="J543" s="18"/>
      <c r="K543" s="18"/>
      <c r="L543" s="88">
        <f>SUM(F543:K543)</f>
        <v>46272.47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163153.49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163153.49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1417463.0699999998</v>
      </c>
      <c r="G545" s="89">
        <f t="shared" ref="G545:L545" si="41">G524+G529+G534+G539+G544</f>
        <v>599364.26</v>
      </c>
      <c r="H545" s="89">
        <f t="shared" si="41"/>
        <v>1103763.8199999998</v>
      </c>
      <c r="I545" s="89">
        <f t="shared" si="41"/>
        <v>8158.1</v>
      </c>
      <c r="J545" s="89">
        <f t="shared" si="41"/>
        <v>2378.5</v>
      </c>
      <c r="K545" s="89">
        <f t="shared" si="41"/>
        <v>0</v>
      </c>
      <c r="L545" s="89">
        <f t="shared" si="41"/>
        <v>3131127.75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2053005.22</v>
      </c>
      <c r="G549" s="87">
        <f>L526</f>
        <v>235480.07</v>
      </c>
      <c r="H549" s="87">
        <f>L531</f>
        <v>20993.119999999999</v>
      </c>
      <c r="I549" s="87">
        <f>L536</f>
        <v>0</v>
      </c>
      <c r="J549" s="87">
        <f>L541</f>
        <v>116881.02</v>
      </c>
      <c r="K549" s="87">
        <f>SUM(F549:J549)</f>
        <v>2426359.4300000002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649180.24</v>
      </c>
      <c r="G551" s="87">
        <f>L528</f>
        <v>4067.32</v>
      </c>
      <c r="H551" s="87">
        <f>L533</f>
        <v>5248.29</v>
      </c>
      <c r="I551" s="87">
        <f>L538</f>
        <v>0</v>
      </c>
      <c r="J551" s="87">
        <f>L543</f>
        <v>46272.47</v>
      </c>
      <c r="K551" s="87">
        <f>SUM(F551:J551)</f>
        <v>704768.32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2702185.46</v>
      </c>
      <c r="G552" s="89">
        <f t="shared" si="42"/>
        <v>239547.39</v>
      </c>
      <c r="H552" s="89">
        <f t="shared" si="42"/>
        <v>26241.41</v>
      </c>
      <c r="I552" s="89">
        <f t="shared" si="42"/>
        <v>0</v>
      </c>
      <c r="J552" s="89">
        <f t="shared" si="42"/>
        <v>163153.49</v>
      </c>
      <c r="K552" s="89">
        <f t="shared" si="42"/>
        <v>3131127.75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>
        <v>2389014.54</v>
      </c>
      <c r="I575" s="87">
        <f>SUM(F575:H575)</f>
        <v>2389014.54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>
        <v>155463</v>
      </c>
      <c r="I577" s="87">
        <f t="shared" si="47"/>
        <v>155463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13168.75</v>
      </c>
      <c r="G579" s="18"/>
      <c r="H579" s="18">
        <v>516457.77</v>
      </c>
      <c r="I579" s="87">
        <f t="shared" si="47"/>
        <v>529626.52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>
        <v>630</v>
      </c>
      <c r="G580" s="18"/>
      <c r="H580" s="18"/>
      <c r="I580" s="87">
        <f t="shared" si="47"/>
        <v>630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>
        <v>10000</v>
      </c>
      <c r="I581" s="87">
        <f t="shared" si="47"/>
        <v>10000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16215.46</v>
      </c>
      <c r="G582" s="18"/>
      <c r="H582" s="18">
        <v>67626.759999999995</v>
      </c>
      <c r="I582" s="87">
        <f t="shared" si="47"/>
        <v>83842.22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328053.59999999998</v>
      </c>
      <c r="I591" s="18"/>
      <c r="J591" s="18">
        <v>159475.6</v>
      </c>
      <c r="K591" s="104">
        <f t="shared" ref="K591:K597" si="48">SUM(H591:J591)</f>
        <v>487529.19999999995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116881.02</v>
      </c>
      <c r="I592" s="18"/>
      <c r="J592" s="18">
        <v>46272.47</v>
      </c>
      <c r="K592" s="104">
        <f t="shared" si="48"/>
        <v>163153.49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3874.8</v>
      </c>
      <c r="I594" s="18"/>
      <c r="J594" s="18"/>
      <c r="K594" s="104">
        <f t="shared" si="48"/>
        <v>3874.8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6954.91</v>
      </c>
      <c r="I595" s="18"/>
      <c r="J595" s="18"/>
      <c r="K595" s="104">
        <f t="shared" si="48"/>
        <v>6954.91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455764.32999999996</v>
      </c>
      <c r="I598" s="108">
        <f>SUM(I591:I597)</f>
        <v>0</v>
      </c>
      <c r="J598" s="108">
        <f>SUM(J591:J597)</f>
        <v>205748.07</v>
      </c>
      <c r="K598" s="108">
        <f>SUM(K591:K597)</f>
        <v>661512.4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60372.23</v>
      </c>
      <c r="I604" s="18"/>
      <c r="J604" s="18"/>
      <c r="K604" s="104">
        <f>SUM(H604:J604)</f>
        <v>60372.23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60372.23</v>
      </c>
      <c r="I605" s="108">
        <f>SUM(I602:I604)</f>
        <v>0</v>
      </c>
      <c r="J605" s="108">
        <f>SUM(J602:J604)</f>
        <v>0</v>
      </c>
      <c r="K605" s="108">
        <f>SUM(K602:K604)</f>
        <v>60372.23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807897.01</v>
      </c>
      <c r="H617" s="109">
        <f>SUM(F52)</f>
        <v>807897.01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10416.4</v>
      </c>
      <c r="H618" s="109">
        <f>SUM(G52)</f>
        <v>10416.4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38687.480000000003</v>
      </c>
      <c r="H619" s="109">
        <f>SUM(H52)</f>
        <v>38687.479999999996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429898.58</v>
      </c>
      <c r="H621" s="109">
        <f>SUM(J52)</f>
        <v>429898.58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560495.35</v>
      </c>
      <c r="H622" s="109">
        <f>F476</f>
        <v>560495.34999999963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10000</v>
      </c>
      <c r="H623" s="109">
        <f>G476</f>
        <v>10000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429898.58</v>
      </c>
      <c r="H626" s="109">
        <f>J476</f>
        <v>429898.58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11791531.739999998</v>
      </c>
      <c r="H627" s="104">
        <f>SUM(F468)</f>
        <v>11791531.74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162315.91000000003</v>
      </c>
      <c r="H628" s="104">
        <f>SUM(G468)</f>
        <v>162315.91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96086.549999999988</v>
      </c>
      <c r="H629" s="104">
        <f>SUM(H468)</f>
        <v>96086.55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70042.12</v>
      </c>
      <c r="H631" s="104">
        <f>SUM(J468)</f>
        <v>70042.12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11531068.800000001</v>
      </c>
      <c r="H632" s="104">
        <f>SUM(F472)</f>
        <v>11531068.800000001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96086.55</v>
      </c>
      <c r="H633" s="104">
        <f>SUM(H472)</f>
        <v>96086.55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69543.98</v>
      </c>
      <c r="H634" s="104">
        <f>I369</f>
        <v>69543.98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162315.90999999997</v>
      </c>
      <c r="H635" s="104">
        <f>SUM(G472)</f>
        <v>162315.91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70042.12</v>
      </c>
      <c r="H637" s="164">
        <f>SUM(J468)</f>
        <v>70042.12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30954</v>
      </c>
      <c r="H638" s="164">
        <f>SUM(J472)</f>
        <v>30954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429898.58</v>
      </c>
      <c r="H640" s="104">
        <f>SUM(G461)</f>
        <v>429898.58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429898.58</v>
      </c>
      <c r="H642" s="104">
        <f>SUM(I461)</f>
        <v>429898.58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3.29</v>
      </c>
      <c r="H644" s="104">
        <f>H408</f>
        <v>3.2900000000000005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70000</v>
      </c>
      <c r="H645" s="104">
        <f>G408</f>
        <v>70000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70042.12</v>
      </c>
      <c r="H646" s="104">
        <f>L408</f>
        <v>70042.12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661512.4</v>
      </c>
      <c r="H647" s="104">
        <f>L208+L226+L244</f>
        <v>661512.4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60372.23</v>
      </c>
      <c r="H648" s="104">
        <f>(J257+J338)-(J255+J336)</f>
        <v>60372.229999999996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455764.33</v>
      </c>
      <c r="H649" s="104">
        <f>H598</f>
        <v>455764.32999999996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205748.07</v>
      </c>
      <c r="H651" s="104">
        <f>J598</f>
        <v>205748.07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23733.38</v>
      </c>
      <c r="H652" s="104">
        <f>K263+K345</f>
        <v>23733.38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70000</v>
      </c>
      <c r="H655" s="104">
        <f>K266+K347</f>
        <v>70000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8249392.4500000002</v>
      </c>
      <c r="G660" s="19">
        <f>(L229+L309+L359)</f>
        <v>0</v>
      </c>
      <c r="H660" s="19">
        <f>(L247+L328+L360)</f>
        <v>3403473.17</v>
      </c>
      <c r="I660" s="19">
        <f>SUM(F660:H660)</f>
        <v>11652865.620000001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80436.560000000012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80436.560000000012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455764.33</v>
      </c>
      <c r="G662" s="19">
        <f>(L226+L306)-(J226+J306)</f>
        <v>0</v>
      </c>
      <c r="H662" s="19">
        <f>(L244+L325)-(J244+J325)</f>
        <v>205748.07</v>
      </c>
      <c r="I662" s="19">
        <f>SUM(F662:H662)</f>
        <v>661512.4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90386.44</v>
      </c>
      <c r="G663" s="199">
        <f>SUM(G575:G587)+SUM(I602:I604)+L612</f>
        <v>0</v>
      </c>
      <c r="H663" s="199">
        <f>SUM(H575:H587)+SUM(J602:J604)+L613</f>
        <v>3138562.07</v>
      </c>
      <c r="I663" s="19">
        <f>SUM(F663:H663)</f>
        <v>3228948.51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7622805.1200000001</v>
      </c>
      <c r="G664" s="19">
        <f>G660-SUM(G661:G663)</f>
        <v>0</v>
      </c>
      <c r="H664" s="19">
        <f>H660-SUM(H661:H663)</f>
        <v>59163.030000000261</v>
      </c>
      <c r="I664" s="19">
        <f>I660-SUM(I661:I663)</f>
        <v>7681968.1500000013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467.97</v>
      </c>
      <c r="G665" s="248"/>
      <c r="H665" s="248"/>
      <c r="I665" s="19">
        <f>SUM(F665:H665)</f>
        <v>467.97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16289.09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16415.509999999998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>
        <v>-59163.03</v>
      </c>
      <c r="I669" s="19">
        <f>SUM(F669:H669)</f>
        <v>-59163.03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16289.09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16289.09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21" sqref="B2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Deerfield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2429073.89</v>
      </c>
      <c r="C9" s="229">
        <f>'DOE25'!G197+'DOE25'!G215+'DOE25'!G233+'DOE25'!G276+'DOE25'!G295+'DOE25'!G314</f>
        <v>1007160.5</v>
      </c>
    </row>
    <row r="10" spans="1:3" x14ac:dyDescent="0.2">
      <c r="A10" t="s">
        <v>779</v>
      </c>
      <c r="B10" s="240">
        <v>2291952.1800000002</v>
      </c>
      <c r="C10" s="240">
        <v>950759.51</v>
      </c>
    </row>
    <row r="11" spans="1:3" x14ac:dyDescent="0.2">
      <c r="A11" t="s">
        <v>780</v>
      </c>
      <c r="B11" s="240">
        <v>86800.56</v>
      </c>
      <c r="C11" s="240">
        <v>36257.78</v>
      </c>
    </row>
    <row r="12" spans="1:3" x14ac:dyDescent="0.2">
      <c r="A12" t="s">
        <v>781</v>
      </c>
      <c r="B12" s="240">
        <v>50321.15</v>
      </c>
      <c r="C12" s="240">
        <v>20143.21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2429073.89</v>
      </c>
      <c r="C13" s="231">
        <f>SUM(C10:C12)</f>
        <v>1007160.5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1400363.17</v>
      </c>
      <c r="C18" s="229">
        <f>'DOE25'!G198+'DOE25'!G216+'DOE25'!G234+'DOE25'!G277+'DOE25'!G296+'DOE25'!G315</f>
        <v>590594.63</v>
      </c>
    </row>
    <row r="19" spans="1:3" x14ac:dyDescent="0.2">
      <c r="A19" t="s">
        <v>779</v>
      </c>
      <c r="B19" s="240">
        <v>710585.46</v>
      </c>
      <c r="C19" s="240">
        <v>299431.48</v>
      </c>
    </row>
    <row r="20" spans="1:3" x14ac:dyDescent="0.2">
      <c r="A20" t="s">
        <v>780</v>
      </c>
      <c r="B20" s="240">
        <v>605503.81000000006</v>
      </c>
      <c r="C20" s="240">
        <v>255136.88</v>
      </c>
    </row>
    <row r="21" spans="1:3" x14ac:dyDescent="0.2">
      <c r="A21" t="s">
        <v>781</v>
      </c>
      <c r="B21" s="240">
        <v>84273.9</v>
      </c>
      <c r="C21" s="240">
        <v>36026.269999999997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1400363.17</v>
      </c>
      <c r="C22" s="231">
        <f>SUM(C19:C21)</f>
        <v>590594.63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16000</v>
      </c>
      <c r="C36" s="235">
        <f>'DOE25'!G200+'DOE25'!G218+'DOE25'!G236+'DOE25'!G279+'DOE25'!G298+'DOE25'!G317</f>
        <v>6814.55</v>
      </c>
    </row>
    <row r="37" spans="1:3" x14ac:dyDescent="0.2">
      <c r="A37" t="s">
        <v>779</v>
      </c>
      <c r="B37" s="240">
        <v>16000</v>
      </c>
      <c r="C37" s="240">
        <v>6814.55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16000</v>
      </c>
      <c r="C40" s="231">
        <f>SUM(C37:C39)</f>
        <v>6814.55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Deerfield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8793199.7200000007</v>
      </c>
      <c r="D5" s="20">
        <f>SUM('DOE25'!L197:L200)+SUM('DOE25'!L215:L218)+SUM('DOE25'!L233:L236)-F5-G5</f>
        <v>8743518.8399999999</v>
      </c>
      <c r="E5" s="243"/>
      <c r="F5" s="255">
        <f>SUM('DOE25'!J197:J200)+SUM('DOE25'!J215:J218)+SUM('DOE25'!J233:J236)</f>
        <v>49680.88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801</v>
      </c>
      <c r="C6" s="245">
        <f t="shared" si="0"/>
        <v>493573.9</v>
      </c>
      <c r="D6" s="20">
        <f>'DOE25'!L202+'DOE25'!L220+'DOE25'!L238-F6-G6</f>
        <v>493573.9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166463.92000000001</v>
      </c>
      <c r="D7" s="20">
        <f>'DOE25'!L203+'DOE25'!L221+'DOE25'!L239-F7-G7</f>
        <v>165903.92000000001</v>
      </c>
      <c r="E7" s="243"/>
      <c r="F7" s="255">
        <f>'DOE25'!J203+'DOE25'!J221+'DOE25'!J239</f>
        <v>0</v>
      </c>
      <c r="G7" s="53">
        <f>'DOE25'!K203+'DOE25'!K221+'DOE25'!K239</f>
        <v>560</v>
      </c>
      <c r="H7" s="259"/>
    </row>
    <row r="8" spans="1:9" x14ac:dyDescent="0.2">
      <c r="A8" s="32">
        <v>2300</v>
      </c>
      <c r="B8" t="s">
        <v>802</v>
      </c>
      <c r="C8" s="245">
        <f t="shared" si="0"/>
        <v>223142.21999999997</v>
      </c>
      <c r="D8" s="243"/>
      <c r="E8" s="20">
        <f>'DOE25'!L204+'DOE25'!L222+'DOE25'!L240-F8-G8-D9-D11</f>
        <v>214444.16999999998</v>
      </c>
      <c r="F8" s="255">
        <f>'DOE25'!J204+'DOE25'!J222+'DOE25'!J240</f>
        <v>0</v>
      </c>
      <c r="G8" s="53">
        <f>'DOE25'!K204+'DOE25'!K222+'DOE25'!K240</f>
        <v>8698.0499999999993</v>
      </c>
      <c r="H8" s="259"/>
    </row>
    <row r="9" spans="1:9" x14ac:dyDescent="0.2">
      <c r="A9" s="32">
        <v>2310</v>
      </c>
      <c r="B9" t="s">
        <v>818</v>
      </c>
      <c r="C9" s="245">
        <f t="shared" si="0"/>
        <v>6292.17</v>
      </c>
      <c r="D9" s="244">
        <v>6292.17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6300</v>
      </c>
      <c r="D10" s="243"/>
      <c r="E10" s="244">
        <v>6300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77603.520000000004</v>
      </c>
      <c r="D11" s="244">
        <v>77603.520000000004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454276.68</v>
      </c>
      <c r="D12" s="20">
        <f>'DOE25'!L205+'DOE25'!L223+'DOE25'!L241-F12-G12</f>
        <v>450642.43</v>
      </c>
      <c r="E12" s="243"/>
      <c r="F12" s="255">
        <f>'DOE25'!J205+'DOE25'!J223+'DOE25'!J241</f>
        <v>836</v>
      </c>
      <c r="G12" s="53">
        <f>'DOE25'!K205+'DOE25'!K223+'DOE25'!K241</f>
        <v>2798.25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518398.63</v>
      </c>
      <c r="D14" s="20">
        <f>'DOE25'!L207+'DOE25'!L225+'DOE25'!L243-F14-G14</f>
        <v>508543.28</v>
      </c>
      <c r="E14" s="243"/>
      <c r="F14" s="255">
        <f>'DOE25'!J207+'DOE25'!J225+'DOE25'!J243</f>
        <v>9855.35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661512.4</v>
      </c>
      <c r="D15" s="20">
        <f>'DOE25'!L208+'DOE25'!L226+'DOE25'!L244-F15-G15</f>
        <v>661512.4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32312</v>
      </c>
      <c r="D22" s="243"/>
      <c r="E22" s="243"/>
      <c r="F22" s="255">
        <f>'DOE25'!L255+'DOE25'!L336</f>
        <v>32312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98516.439999999973</v>
      </c>
      <c r="D29" s="20">
        <f>'DOE25'!L358+'DOE25'!L359+'DOE25'!L360-'DOE25'!I367-F29-G29</f>
        <v>98516.439999999973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96086.55</v>
      </c>
      <c r="D31" s="20">
        <f>'DOE25'!L290+'DOE25'!L309+'DOE25'!L328+'DOE25'!L333+'DOE25'!L334+'DOE25'!L335-F31-G31</f>
        <v>94486.260000000009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1600.29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11300593.159999998</v>
      </c>
      <c r="E33" s="246">
        <f>SUM(E5:E31)</f>
        <v>220744.16999999998</v>
      </c>
      <c r="F33" s="246">
        <f>SUM(F5:F31)</f>
        <v>92684.23</v>
      </c>
      <c r="G33" s="246">
        <f>SUM(G5:G31)</f>
        <v>13656.59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220744.16999999998</v>
      </c>
      <c r="E35" s="249"/>
    </row>
    <row r="36" spans="2:8" ht="12" thickTop="1" x14ac:dyDescent="0.2">
      <c r="B36" t="s">
        <v>815</v>
      </c>
      <c r="D36" s="20">
        <f>D33</f>
        <v>11300593.159999998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Deerfield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708237.23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429898.58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38623.26</v>
      </c>
      <c r="D11" s="95">
        <f>'DOE25'!G12</f>
        <v>147.62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61036.52</v>
      </c>
      <c r="D12" s="95">
        <f>'DOE25'!G13</f>
        <v>3867.29</v>
      </c>
      <c r="E12" s="95">
        <f>'DOE25'!H13</f>
        <v>38687.480000000003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6401.49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807897.01</v>
      </c>
      <c r="D18" s="41">
        <f>SUM(D8:D17)</f>
        <v>10416.4</v>
      </c>
      <c r="E18" s="41">
        <f>SUM(E8:E17)</f>
        <v>38687.480000000003</v>
      </c>
      <c r="F18" s="41">
        <f>SUM(F8:F17)</f>
        <v>0</v>
      </c>
      <c r="G18" s="41">
        <f>SUM(G8:G17)</f>
        <v>429898.58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 t="str">
        <f>'DOE25'!G22</f>
        <v xml:space="preserve"> </v>
      </c>
      <c r="E21" s="95">
        <f>'DOE25'!H22</f>
        <v>37970.879999999997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229908.02</v>
      </c>
      <c r="D22" s="95">
        <f>'DOE25'!G23</f>
        <v>416.4</v>
      </c>
      <c r="E22" s="95">
        <f>'DOE25'!H23</f>
        <v>716.6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17493.64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247401.65999999997</v>
      </c>
      <c r="D31" s="41">
        <f>SUM(D21:D30)</f>
        <v>416.4</v>
      </c>
      <c r="E31" s="41">
        <f>SUM(E21:E30)</f>
        <v>38687.479999999996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35000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190000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10000</v>
      </c>
      <c r="E47" s="95">
        <f>'DOE25'!H48</f>
        <v>0</v>
      </c>
      <c r="F47" s="95">
        <f>'DOE25'!I48</f>
        <v>0</v>
      </c>
      <c r="G47" s="95">
        <f>'DOE25'!J48</f>
        <v>429898.58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335495.34999999998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560495.35</v>
      </c>
      <c r="D50" s="41">
        <f>SUM(D34:D49)</f>
        <v>10000</v>
      </c>
      <c r="E50" s="41">
        <f>SUM(E34:E49)</f>
        <v>0</v>
      </c>
      <c r="F50" s="41">
        <f>SUM(F34:F49)</f>
        <v>0</v>
      </c>
      <c r="G50" s="41">
        <f>SUM(G34:G49)</f>
        <v>429898.58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807897.01</v>
      </c>
      <c r="D51" s="41">
        <f>D50+D31</f>
        <v>10416.4</v>
      </c>
      <c r="E51" s="41">
        <f>E50+E31</f>
        <v>38687.479999999996</v>
      </c>
      <c r="F51" s="41">
        <f>F50+F31</f>
        <v>0</v>
      </c>
      <c r="G51" s="41">
        <f>G50+G31</f>
        <v>429898.58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8637194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21629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3.29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78547.320000000007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9391.67</v>
      </c>
      <c r="D61" s="95">
        <f>SUM('DOE25'!G98:G110)</f>
        <v>1889.24</v>
      </c>
      <c r="E61" s="95">
        <f>SUM('DOE25'!H98:H110)</f>
        <v>0</v>
      </c>
      <c r="F61" s="95">
        <f>SUM('DOE25'!I98:I110)</f>
        <v>0</v>
      </c>
      <c r="G61" s="95">
        <f>SUM('DOE25'!J98:J110)</f>
        <v>38.83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31020.67</v>
      </c>
      <c r="D62" s="130">
        <f>SUM(D57:D61)</f>
        <v>80436.560000000012</v>
      </c>
      <c r="E62" s="130">
        <f>SUM(E57:E61)</f>
        <v>0</v>
      </c>
      <c r="F62" s="130">
        <f>SUM(F57:F61)</f>
        <v>0</v>
      </c>
      <c r="G62" s="130">
        <f>SUM(G57:G61)</f>
        <v>42.12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8668214.6699999999</v>
      </c>
      <c r="D63" s="22">
        <f>D56+D62</f>
        <v>80436.560000000012</v>
      </c>
      <c r="E63" s="22">
        <f>E56+E62</f>
        <v>0</v>
      </c>
      <c r="F63" s="22">
        <f>F56+F62</f>
        <v>0</v>
      </c>
      <c r="G63" s="22">
        <f>G56+G62</f>
        <v>42.12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1723359.8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1103256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1881.98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2828497.78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14257.76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178.38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14257.76</v>
      </c>
      <c r="D78" s="130">
        <f>SUM(D72:D77)</f>
        <v>178.38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2842755.5399999996</v>
      </c>
      <c r="D81" s="130">
        <f>SUM(D79:D80)+D78+D70</f>
        <v>178.38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249607.53</v>
      </c>
      <c r="D88" s="95">
        <f>SUM('DOE25'!G153:G161)</f>
        <v>57967.59</v>
      </c>
      <c r="E88" s="95">
        <f>SUM('DOE25'!H153:H161)</f>
        <v>96086.549999999988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249607.53</v>
      </c>
      <c r="D91" s="131">
        <f>SUM(D85:D90)</f>
        <v>57967.59</v>
      </c>
      <c r="E91" s="131">
        <f>SUM(E85:E90)</f>
        <v>96086.549999999988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23733.38</v>
      </c>
      <c r="E96" s="95">
        <f>'DOE25'!H179</f>
        <v>0</v>
      </c>
      <c r="F96" s="95">
        <f>'DOE25'!I179</f>
        <v>0</v>
      </c>
      <c r="G96" s="95">
        <f>'DOE25'!J179</f>
        <v>70000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30954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30954</v>
      </c>
      <c r="D103" s="86">
        <f>SUM(D93:D102)</f>
        <v>23733.38</v>
      </c>
      <c r="E103" s="86">
        <f>SUM(E93:E102)</f>
        <v>0</v>
      </c>
      <c r="F103" s="86">
        <f>SUM(F93:F102)</f>
        <v>0</v>
      </c>
      <c r="G103" s="86">
        <f>SUM(G93:G102)</f>
        <v>70000</v>
      </c>
    </row>
    <row r="104" spans="1:7" ht="12.75" thickTop="1" thickBot="1" x14ac:dyDescent="0.25">
      <c r="A104" s="33" t="s">
        <v>765</v>
      </c>
      <c r="C104" s="86">
        <f>C63+C81+C91+C103</f>
        <v>11791531.739999998</v>
      </c>
      <c r="D104" s="86">
        <f>D63+D81+D91+D103</f>
        <v>162315.91000000003</v>
      </c>
      <c r="E104" s="86">
        <f>E63+E81+E91+E103</f>
        <v>96086.549999999988</v>
      </c>
      <c r="F104" s="86">
        <f>F63+F81+F91+F103</f>
        <v>0</v>
      </c>
      <c r="G104" s="86">
        <f>G63+G81+G103</f>
        <v>70042.12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6059239.9000000004</v>
      </c>
      <c r="D109" s="24" t="s">
        <v>289</v>
      </c>
      <c r="E109" s="95">
        <f>('DOE25'!L276)+('DOE25'!L295)+('DOE25'!L314)</f>
        <v>65855.06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2701981.34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31978.479999999996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8793199.7200000007</v>
      </c>
      <c r="D115" s="86">
        <f>SUM(D109:D114)</f>
        <v>0</v>
      </c>
      <c r="E115" s="86">
        <f>SUM(E109:E114)</f>
        <v>65855.06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493573.9</v>
      </c>
      <c r="D118" s="24" t="s">
        <v>289</v>
      </c>
      <c r="E118" s="95">
        <f>+('DOE25'!L281)+('DOE25'!L300)+('DOE25'!L319)</f>
        <v>26890.82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166463.92000000001</v>
      </c>
      <c r="D119" s="24" t="s">
        <v>289</v>
      </c>
      <c r="E119" s="95">
        <f>+('DOE25'!L282)+('DOE25'!L301)+('DOE25'!L320)</f>
        <v>1740.38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307037.90999999997</v>
      </c>
      <c r="D120" s="24" t="s">
        <v>289</v>
      </c>
      <c r="E120" s="95">
        <f>+('DOE25'!L283)+('DOE25'!L302)+('DOE25'!L321)</f>
        <v>1600.29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454276.68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518398.63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661512.4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162315.90999999997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2601263.44</v>
      </c>
      <c r="D128" s="86">
        <f>SUM(D118:D127)</f>
        <v>162315.90999999997</v>
      </c>
      <c r="E128" s="86">
        <f>SUM(E118:E127)</f>
        <v>30231.49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32312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30954</v>
      </c>
    </row>
    <row r="135" spans="1:7" x14ac:dyDescent="0.2">
      <c r="A135" t="s">
        <v>233</v>
      </c>
      <c r="B135" s="32" t="s">
        <v>234</v>
      </c>
      <c r="C135" s="95">
        <f>'DOE25'!L263</f>
        <v>23733.38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70042.12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-42.119999999995343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10560.26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136605.64000000001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30954</v>
      </c>
    </row>
    <row r="145" spans="1:9" ht="12.75" thickTop="1" thickBot="1" x14ac:dyDescent="0.25">
      <c r="A145" s="33" t="s">
        <v>244</v>
      </c>
      <c r="C145" s="86">
        <f>(C115+C128+C144)</f>
        <v>11531068.800000001</v>
      </c>
      <c r="D145" s="86">
        <f>(D115+D128+D144)</f>
        <v>162315.90999999997</v>
      </c>
      <c r="E145" s="86">
        <f>(E115+E128+E144)</f>
        <v>96086.55</v>
      </c>
      <c r="F145" s="86">
        <f>(F115+F128+F144)</f>
        <v>0</v>
      </c>
      <c r="G145" s="86">
        <f>(G115+G128+G144)</f>
        <v>30954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Deerfield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16289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16289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6125095</v>
      </c>
      <c r="D10" s="182">
        <f>ROUND((C10/$C$28)*100,1)</f>
        <v>52.9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2701981</v>
      </c>
      <c r="D11" s="182">
        <f>ROUND((C11/$C$28)*100,1)</f>
        <v>23.3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31978</v>
      </c>
      <c r="D13" s="182">
        <f>ROUND((C13/$C$28)*100,1)</f>
        <v>0.3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520465</v>
      </c>
      <c r="D15" s="182">
        <f t="shared" ref="D15:D27" si="0">ROUND((C15/$C$28)*100,1)</f>
        <v>4.5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168204</v>
      </c>
      <c r="D16" s="182">
        <f t="shared" si="0"/>
        <v>1.5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308638</v>
      </c>
      <c r="D17" s="182">
        <f t="shared" si="0"/>
        <v>2.7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454277</v>
      </c>
      <c r="D18" s="182">
        <f t="shared" si="0"/>
        <v>3.9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518399</v>
      </c>
      <c r="D20" s="182">
        <f t="shared" si="0"/>
        <v>4.5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661512</v>
      </c>
      <c r="D21" s="182">
        <f t="shared" si="0"/>
        <v>5.7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10560.26</v>
      </c>
      <c r="D26" s="182">
        <f t="shared" si="0"/>
        <v>0.1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81879.439999999988</v>
      </c>
      <c r="D27" s="182">
        <f t="shared" si="0"/>
        <v>0.7</v>
      </c>
    </row>
    <row r="28" spans="1:4" x14ac:dyDescent="0.2">
      <c r="B28" s="187" t="s">
        <v>723</v>
      </c>
      <c r="C28" s="180">
        <f>SUM(C10:C27)</f>
        <v>11582988.699999999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32312</v>
      </c>
    </row>
    <row r="30" spans="1:4" x14ac:dyDescent="0.2">
      <c r="B30" s="187" t="s">
        <v>729</v>
      </c>
      <c r="C30" s="180">
        <f>SUM(C28:C29)</f>
        <v>11615300.699999999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8637194</v>
      </c>
      <c r="D35" s="182">
        <f t="shared" ref="D35:D40" si="1">ROUND((C35/$C$41)*100,1)</f>
        <v>72.5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31062.789999999106</v>
      </c>
      <c r="D36" s="182">
        <f t="shared" si="1"/>
        <v>0.3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2826616</v>
      </c>
      <c r="D37" s="182">
        <f t="shared" si="1"/>
        <v>23.7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16318</v>
      </c>
      <c r="D38" s="182">
        <f t="shared" si="1"/>
        <v>0.1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403662</v>
      </c>
      <c r="D39" s="182">
        <f t="shared" si="1"/>
        <v>3.4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11914852.789999999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Deerfield School District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A3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2015-10-22T17:05:39Z</cp:lastPrinted>
  <dcterms:created xsi:type="dcterms:W3CDTF">1997-12-04T19:04:30Z</dcterms:created>
  <dcterms:modified xsi:type="dcterms:W3CDTF">2015-10-22T17:05:45Z</dcterms:modified>
</cp:coreProperties>
</file>