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workbookPassword="A30A" lockStructure="1"/>
  <bookViews>
    <workbookView xWindow="0" yWindow="0" windowWidth="21570" windowHeight="814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19" i="12" l="1"/>
  <c r="B19" i="12"/>
  <c r="C10" i="12"/>
  <c r="B10" i="12"/>
  <c r="F472" i="1"/>
  <c r="F50" i="1"/>
  <c r="F28" i="1"/>
  <c r="G568" i="1"/>
  <c r="G567" i="1"/>
  <c r="G526" i="1"/>
  <c r="G521" i="1"/>
  <c r="G216" i="1"/>
  <c r="G198" i="1"/>
  <c r="G202" i="1"/>
  <c r="G207" i="1"/>
  <c r="G197" i="1"/>
  <c r="F568" i="1"/>
  <c r="F567" i="1"/>
  <c r="F526" i="1"/>
  <c r="F522" i="1"/>
  <c r="F521" i="1"/>
  <c r="F207" i="1"/>
  <c r="F202" i="1"/>
  <c r="F216" i="1"/>
  <c r="F198" i="1"/>
  <c r="F197" i="1"/>
  <c r="B37" i="12" l="1"/>
  <c r="B39" i="12"/>
  <c r="B20" i="12"/>
  <c r="C11" i="12"/>
  <c r="B11" i="12"/>
  <c r="H233" i="1"/>
  <c r="I527" i="1"/>
  <c r="H527" i="1"/>
  <c r="I526" i="1"/>
  <c r="H526" i="1"/>
  <c r="G533" i="1"/>
  <c r="H528" i="1"/>
  <c r="H198" i="1" l="1"/>
  <c r="H204" i="1"/>
  <c r="I227" i="1"/>
  <c r="H220" i="1"/>
  <c r="I202" i="1"/>
  <c r="I215" i="1"/>
  <c r="H225" i="1"/>
  <c r="H207" i="1"/>
  <c r="G225" i="1"/>
  <c r="G221" i="1"/>
  <c r="G203" i="1"/>
  <c r="F221" i="1"/>
  <c r="F203" i="1"/>
  <c r="K218" i="1"/>
  <c r="I568" i="1"/>
  <c r="I567" i="1"/>
  <c r="I563" i="1"/>
  <c r="I562" i="1"/>
  <c r="G562" i="1"/>
  <c r="G563" i="1"/>
  <c r="I204" i="1" l="1"/>
  <c r="I197" i="1"/>
  <c r="G499" i="1"/>
  <c r="G498" i="1"/>
  <c r="F499" i="1"/>
  <c r="H541" i="1"/>
  <c r="K522" i="1"/>
  <c r="K521" i="1"/>
  <c r="I522" i="1"/>
  <c r="J522" i="1"/>
  <c r="J521" i="1"/>
  <c r="I521" i="1"/>
  <c r="H523" i="1"/>
  <c r="G522" i="1"/>
  <c r="H522" i="1"/>
  <c r="H521" i="1"/>
  <c r="K261" i="1"/>
  <c r="I604" i="1"/>
  <c r="H604" i="1"/>
  <c r="H251" i="1"/>
  <c r="G251" i="1"/>
  <c r="F251" i="1"/>
  <c r="H592" i="1"/>
  <c r="I592" i="1"/>
  <c r="H591" i="1"/>
  <c r="J592" i="1"/>
  <c r="I594" i="1"/>
  <c r="I595" i="1"/>
  <c r="F110" i="1" l="1"/>
  <c r="F66" i="1"/>
  <c r="F63" i="1"/>
  <c r="K320" i="1"/>
  <c r="K333" i="1"/>
  <c r="H472" i="1"/>
  <c r="K301" i="1"/>
  <c r="K295" i="1"/>
  <c r="K277" i="1"/>
  <c r="K281" i="1"/>
  <c r="H281" i="1"/>
  <c r="G281" i="1"/>
  <c r="F281" i="1"/>
  <c r="G276" i="1"/>
  <c r="F276" i="1"/>
  <c r="F295" i="1"/>
  <c r="G282" i="1"/>
  <c r="F282" i="1"/>
  <c r="H282" i="1"/>
  <c r="H320" i="1"/>
  <c r="H300" i="1"/>
  <c r="I281" i="1"/>
  <c r="J276" i="1"/>
  <c r="I276" i="1"/>
  <c r="G277" i="1"/>
  <c r="F277" i="1"/>
  <c r="H277" i="1"/>
  <c r="H276" i="1"/>
  <c r="I282" i="1"/>
  <c r="J282" i="1"/>
  <c r="H155" i="1"/>
  <c r="H157" i="1"/>
  <c r="H154" i="1"/>
  <c r="H333" i="1"/>
  <c r="I333" i="1"/>
  <c r="G333" i="1"/>
  <c r="F333" i="1"/>
  <c r="H22" i="1"/>
  <c r="J301" i="1"/>
  <c r="H48" i="1" l="1"/>
  <c r="F368" i="1"/>
  <c r="G368" i="1"/>
  <c r="G367" i="1"/>
  <c r="F367" i="1"/>
  <c r="I359" i="1"/>
  <c r="I358" i="1"/>
  <c r="H359" i="1"/>
  <c r="H358" i="1"/>
  <c r="G359" i="1"/>
  <c r="G358" i="1"/>
  <c r="G158" i="1"/>
  <c r="G97" i="1"/>
  <c r="G40" i="1"/>
  <c r="G28" i="1"/>
  <c r="F14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E13" i="13" s="1"/>
  <c r="C13" i="13" s="1"/>
  <c r="L224" i="1"/>
  <c r="L242" i="1"/>
  <c r="F16" i="13"/>
  <c r="G16" i="13"/>
  <c r="E16" i="13" s="1"/>
  <c r="L209" i="1"/>
  <c r="L227" i="1"/>
  <c r="L245" i="1"/>
  <c r="F5" i="13"/>
  <c r="G5" i="13"/>
  <c r="L197" i="1"/>
  <c r="L198" i="1"/>
  <c r="L199" i="1"/>
  <c r="C111" i="2" s="1"/>
  <c r="L200" i="1"/>
  <c r="L215" i="1"/>
  <c r="L216" i="1"/>
  <c r="L217" i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L223" i="1"/>
  <c r="L241" i="1"/>
  <c r="C121" i="2" s="1"/>
  <c r="F14" i="13"/>
  <c r="G14" i="13"/>
  <c r="L207" i="1"/>
  <c r="L225" i="1"/>
  <c r="L243" i="1"/>
  <c r="F15" i="13"/>
  <c r="G15" i="13"/>
  <c r="L208" i="1"/>
  <c r="H647" i="1" s="1"/>
  <c r="L226" i="1"/>
  <c r="L244" i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G661" i="1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E118" i="2" s="1"/>
  <c r="L282" i="1"/>
  <c r="L283" i="1"/>
  <c r="L284" i="1"/>
  <c r="L285" i="1"/>
  <c r="L286" i="1"/>
  <c r="L287" i="1"/>
  <c r="L288" i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28" i="1" s="1"/>
  <c r="H660" i="1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132" i="2" s="1"/>
  <c r="L341" i="1"/>
  <c r="L342" i="1"/>
  <c r="L255" i="1"/>
  <c r="L336" i="1"/>
  <c r="C29" i="10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79" i="1"/>
  <c r="C57" i="2" s="1"/>
  <c r="F94" i="1"/>
  <c r="F111" i="1"/>
  <c r="G111" i="1"/>
  <c r="H79" i="1"/>
  <c r="H112" i="1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I147" i="1"/>
  <c r="I162" i="1"/>
  <c r="C11" i="10"/>
  <c r="C12" i="10"/>
  <c r="C13" i="10"/>
  <c r="C19" i="10"/>
  <c r="L250" i="1"/>
  <c r="L332" i="1"/>
  <c r="L254" i="1"/>
  <c r="C25" i="10"/>
  <c r="L268" i="1"/>
  <c r="L269" i="1"/>
  <c r="L349" i="1"/>
  <c r="L350" i="1"/>
  <c r="I665" i="1"/>
  <c r="I670" i="1"/>
  <c r="L247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H552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L270" i="1" s="1"/>
  <c r="C131" i="2"/>
  <c r="A1" i="2"/>
  <c r="A2" i="2"/>
  <c r="C8" i="2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C18" i="2" s="1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D31" i="2" s="1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D62" i="2" s="1"/>
  <c r="D63" i="2" s="1"/>
  <c r="E59" i="2"/>
  <c r="F59" i="2"/>
  <c r="D60" i="2"/>
  <c r="C61" i="2"/>
  <c r="D61" i="2"/>
  <c r="E61" i="2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E103" i="2" s="1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0" i="2"/>
  <c r="E111" i="2"/>
  <c r="C112" i="2"/>
  <c r="E112" i="2"/>
  <c r="C113" i="2"/>
  <c r="E113" i="2"/>
  <c r="C114" i="2"/>
  <c r="D115" i="2"/>
  <c r="F115" i="2"/>
  <c r="G115" i="2"/>
  <c r="C119" i="2"/>
  <c r="E120" i="2"/>
  <c r="E121" i="2"/>
  <c r="E122" i="2"/>
  <c r="E123" i="2"/>
  <c r="E124" i="2"/>
  <c r="C125" i="2"/>
  <c r="E125" i="2"/>
  <c r="F128" i="2"/>
  <c r="G128" i="2"/>
  <c r="C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G156" i="2" s="1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G257" i="1" s="1"/>
  <c r="G271" i="1" s="1"/>
  <c r="H229" i="1"/>
  <c r="I229" i="1"/>
  <c r="J229" i="1"/>
  <c r="J257" i="1" s="1"/>
  <c r="K229" i="1"/>
  <c r="K257" i="1" s="1"/>
  <c r="K271" i="1" s="1"/>
  <c r="F247" i="1"/>
  <c r="G247" i="1"/>
  <c r="H247" i="1"/>
  <c r="I247" i="1"/>
  <c r="J247" i="1"/>
  <c r="K247" i="1"/>
  <c r="F256" i="1"/>
  <c r="G256" i="1"/>
  <c r="L256" i="1" s="1"/>
  <c r="H256" i="1"/>
  <c r="I256" i="1"/>
  <c r="J256" i="1"/>
  <c r="K256" i="1"/>
  <c r="F290" i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L382" i="1" s="1"/>
  <c r="G636" i="1" s="1"/>
  <c r="J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G641" i="1" s="1"/>
  <c r="J641" i="1" s="1"/>
  <c r="F452" i="1"/>
  <c r="G452" i="1"/>
  <c r="H452" i="1"/>
  <c r="F460" i="1"/>
  <c r="G460" i="1"/>
  <c r="H460" i="1"/>
  <c r="F461" i="1"/>
  <c r="G461" i="1"/>
  <c r="H461" i="1"/>
  <c r="F470" i="1"/>
  <c r="G470" i="1"/>
  <c r="H470" i="1"/>
  <c r="H476" i="1" s="1"/>
  <c r="H624" i="1" s="1"/>
  <c r="J624" i="1" s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J545" i="1" s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K571" i="1" s="1"/>
  <c r="L567" i="1"/>
  <c r="L568" i="1"/>
  <c r="L569" i="1"/>
  <c r="F570" i="1"/>
  <c r="G570" i="1"/>
  <c r="H570" i="1"/>
  <c r="I570" i="1"/>
  <c r="I571" i="1" s="1"/>
  <c r="J570" i="1"/>
  <c r="J571" i="1" s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8" i="1" s="1"/>
  <c r="G647" i="1" s="1"/>
  <c r="J647" i="1" s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H639" i="1"/>
  <c r="G640" i="1"/>
  <c r="H640" i="1"/>
  <c r="H641" i="1"/>
  <c r="G643" i="1"/>
  <c r="H643" i="1"/>
  <c r="J643" i="1" s="1"/>
  <c r="G644" i="1"/>
  <c r="H644" i="1"/>
  <c r="H645" i="1"/>
  <c r="G650" i="1"/>
  <c r="G651" i="1"/>
  <c r="G652" i="1"/>
  <c r="H652" i="1"/>
  <c r="G653" i="1"/>
  <c r="H653" i="1"/>
  <c r="G654" i="1"/>
  <c r="H654" i="1"/>
  <c r="H655" i="1"/>
  <c r="F192" i="1"/>
  <c r="L351" i="1"/>
  <c r="A40" i="12"/>
  <c r="D15" i="13"/>
  <c r="C15" i="13" s="1"/>
  <c r="D18" i="2"/>
  <c r="D6" i="13"/>
  <c r="C6" i="13" s="1"/>
  <c r="C91" i="2"/>
  <c r="C78" i="2"/>
  <c r="D50" i="2"/>
  <c r="G161" i="2"/>
  <c r="D91" i="2"/>
  <c r="E62" i="2"/>
  <c r="E63" i="2" s="1"/>
  <c r="G62" i="2"/>
  <c r="D19" i="13"/>
  <c r="C19" i="13" s="1"/>
  <c r="E78" i="2"/>
  <c r="L427" i="1"/>
  <c r="K605" i="1"/>
  <c r="G648" i="1" s="1"/>
  <c r="L433" i="1"/>
  <c r="D81" i="2"/>
  <c r="I169" i="1"/>
  <c r="H169" i="1"/>
  <c r="J644" i="1"/>
  <c r="J476" i="1"/>
  <c r="H626" i="1" s="1"/>
  <c r="F476" i="1"/>
  <c r="H622" i="1" s="1"/>
  <c r="I476" i="1"/>
  <c r="H625" i="1" s="1"/>
  <c r="J625" i="1" s="1"/>
  <c r="G476" i="1"/>
  <c r="H623" i="1" s="1"/>
  <c r="J623" i="1" s="1"/>
  <c r="J140" i="1"/>
  <c r="F571" i="1"/>
  <c r="G22" i="2"/>
  <c r="H140" i="1"/>
  <c r="L393" i="1"/>
  <c r="C138" i="2" s="1"/>
  <c r="A13" i="12"/>
  <c r="J651" i="1"/>
  <c r="J640" i="1"/>
  <c r="L560" i="1"/>
  <c r="F338" i="1"/>
  <c r="F352" i="1" s="1"/>
  <c r="G192" i="1"/>
  <c r="H192" i="1"/>
  <c r="J655" i="1"/>
  <c r="G36" i="2"/>
  <c r="L570" i="1" l="1"/>
  <c r="K550" i="1"/>
  <c r="C123" i="2"/>
  <c r="C26" i="10"/>
  <c r="F552" i="1"/>
  <c r="K545" i="1"/>
  <c r="H545" i="1"/>
  <c r="K551" i="1"/>
  <c r="I545" i="1"/>
  <c r="G552" i="1"/>
  <c r="G545" i="1"/>
  <c r="L529" i="1"/>
  <c r="I552" i="1"/>
  <c r="K549" i="1"/>
  <c r="I257" i="1"/>
  <c r="I271" i="1" s="1"/>
  <c r="J622" i="1"/>
  <c r="F257" i="1"/>
  <c r="D5" i="13"/>
  <c r="C5" i="13" s="1"/>
  <c r="H571" i="1"/>
  <c r="L565" i="1"/>
  <c r="L571" i="1" s="1"/>
  <c r="H257" i="1"/>
  <c r="H271" i="1" s="1"/>
  <c r="L229" i="1"/>
  <c r="G660" i="1" s="1"/>
  <c r="G664" i="1" s="1"/>
  <c r="G667" i="1" s="1"/>
  <c r="H25" i="13"/>
  <c r="F112" i="1"/>
  <c r="E81" i="2"/>
  <c r="E104" i="2" s="1"/>
  <c r="D29" i="13"/>
  <c r="C29" i="13" s="1"/>
  <c r="G645" i="1"/>
  <c r="J645" i="1" s="1"/>
  <c r="L524" i="1"/>
  <c r="J338" i="1"/>
  <c r="J352" i="1" s="1"/>
  <c r="E143" i="2"/>
  <c r="E130" i="2"/>
  <c r="D127" i="2"/>
  <c r="D128" i="2" s="1"/>
  <c r="C124" i="2"/>
  <c r="C122" i="2"/>
  <c r="C56" i="2"/>
  <c r="F662" i="1"/>
  <c r="I662" i="1" s="1"/>
  <c r="C18" i="10"/>
  <c r="G112" i="1"/>
  <c r="C81" i="2"/>
  <c r="G649" i="1"/>
  <c r="J649" i="1" s="1"/>
  <c r="H661" i="1"/>
  <c r="H664" i="1" s="1"/>
  <c r="C15" i="10"/>
  <c r="F22" i="13"/>
  <c r="C22" i="13" s="1"/>
  <c r="J271" i="1"/>
  <c r="D14" i="13"/>
  <c r="C14" i="13" s="1"/>
  <c r="D12" i="13"/>
  <c r="C12" i="13" s="1"/>
  <c r="L614" i="1"/>
  <c r="L534" i="1"/>
  <c r="K500" i="1"/>
  <c r="I460" i="1"/>
  <c r="I452" i="1"/>
  <c r="I461" i="1" s="1"/>
  <c r="H642" i="1" s="1"/>
  <c r="I446" i="1"/>
  <c r="G642" i="1" s="1"/>
  <c r="F271" i="1"/>
  <c r="D145" i="2"/>
  <c r="J617" i="1"/>
  <c r="G164" i="2"/>
  <c r="J552" i="1"/>
  <c r="L544" i="1"/>
  <c r="L211" i="1"/>
  <c r="C120" i="2"/>
  <c r="C128" i="2" s="1"/>
  <c r="E8" i="13"/>
  <c r="C8" i="13" s="1"/>
  <c r="C17" i="10"/>
  <c r="C16" i="10"/>
  <c r="C20" i="10"/>
  <c r="C21" i="10"/>
  <c r="C16" i="13"/>
  <c r="C115" i="2"/>
  <c r="J639" i="1"/>
  <c r="C62" i="2"/>
  <c r="H338" i="1"/>
  <c r="H352" i="1" s="1"/>
  <c r="E119" i="2"/>
  <c r="E128" i="2" s="1"/>
  <c r="E109" i="2"/>
  <c r="E115" i="2" s="1"/>
  <c r="L290" i="1"/>
  <c r="F661" i="1"/>
  <c r="L362" i="1"/>
  <c r="C27" i="10" s="1"/>
  <c r="C10" i="10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C36" i="10"/>
  <c r="G63" i="2"/>
  <c r="G104" i="2" s="1"/>
  <c r="J618" i="1"/>
  <c r="G42" i="2"/>
  <c r="J51" i="1"/>
  <c r="G16" i="2"/>
  <c r="G18" i="2" s="1"/>
  <c r="J19" i="1"/>
  <c r="G621" i="1" s="1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J652" i="1"/>
  <c r="J642" i="1"/>
  <c r="G571" i="1"/>
  <c r="I434" i="1"/>
  <c r="G434" i="1"/>
  <c r="I663" i="1"/>
  <c r="F193" i="1" l="1"/>
  <c r="G627" i="1" s="1"/>
  <c r="J627" i="1" s="1"/>
  <c r="C63" i="2"/>
  <c r="K552" i="1"/>
  <c r="L545" i="1"/>
  <c r="L257" i="1"/>
  <c r="L271" i="1" s="1"/>
  <c r="G632" i="1" s="1"/>
  <c r="J632" i="1" s="1"/>
  <c r="H667" i="1"/>
  <c r="H672" i="1"/>
  <c r="C6" i="10" s="1"/>
  <c r="C145" i="2"/>
  <c r="E33" i="13"/>
  <c r="D35" i="13" s="1"/>
  <c r="G635" i="1"/>
  <c r="J635" i="1" s="1"/>
  <c r="H648" i="1"/>
  <c r="J648" i="1" s="1"/>
  <c r="C25" i="13"/>
  <c r="H33" i="13"/>
  <c r="G51" i="2"/>
  <c r="F660" i="1"/>
  <c r="F664" i="1" s="1"/>
  <c r="F672" i="1" s="1"/>
  <c r="C4" i="10" s="1"/>
  <c r="C104" i="2"/>
  <c r="E145" i="2"/>
  <c r="D31" i="13"/>
  <c r="C31" i="13" s="1"/>
  <c r="L338" i="1"/>
  <c r="L352" i="1" s="1"/>
  <c r="G633" i="1" s="1"/>
  <c r="J633" i="1" s="1"/>
  <c r="C28" i="10"/>
  <c r="D24" i="10" s="1"/>
  <c r="H646" i="1"/>
  <c r="J646" i="1" s="1"/>
  <c r="I661" i="1"/>
  <c r="G672" i="1"/>
  <c r="C5" i="10" s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I660" i="1" l="1"/>
  <c r="I664" i="1" s="1"/>
  <c r="I672" i="1" s="1"/>
  <c r="C7" i="10" s="1"/>
  <c r="F667" i="1"/>
  <c r="D23" i="10"/>
  <c r="D26" i="10"/>
  <c r="D10" i="10"/>
  <c r="C30" i="10"/>
  <c r="D16" i="10"/>
  <c r="D13" i="10"/>
  <c r="D11" i="10"/>
  <c r="D21" i="10"/>
  <c r="D22" i="10"/>
  <c r="D27" i="10"/>
  <c r="D20" i="10"/>
  <c r="D18" i="10"/>
  <c r="D15" i="10"/>
  <c r="D17" i="10"/>
  <c r="D25" i="10"/>
  <c r="D12" i="10"/>
  <c r="D19" i="10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<sst xmlns="http://schemas.openxmlformats.org/spreadsheetml/2006/main" count="3960" uniqueCount="918">
  <si>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</si>
  <si>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</si>
  <si>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</si>
  <si>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</si>
  <si>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</si>
  <si>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</si>
  <si>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</si>
  <si>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</si>
  <si>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</si>
  <si>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</si>
  <si>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</si>
  <si>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</si>
  <si>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</si>
  <si>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</si>
  <si>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</si>
  <si>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</si>
  <si>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</si>
  <si>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</si>
  <si>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</si>
  <si>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</si>
  <si>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</si>
  <si>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</si>
  <si>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</si>
  <si>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</si>
  <si>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</si>
  <si>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</si>
  <si>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</si>
  <si>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</si>
  <si>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</si>
  <si>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</si>
  <si>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</si>
  <si>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</si>
  <si>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</si>
  <si>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</si>
  <si>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</si>
  <si>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</si>
  <si>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</si>
  <si>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</si>
  <si>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</si>
  <si>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</si>
  <si>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</si>
  <si>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</si>
  <si>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</si>
  <si>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</si>
  <si>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</si>
  <si>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</si>
  <si>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</si>
  <si>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</si>
  <si>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</si>
  <si>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</si>
  <si>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</si>
  <si>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</si>
  <si>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</si>
  <si>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</si>
  <si>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</si>
  <si>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</si>
  <si>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</si>
  <si>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</si>
  <si>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</si>
  <si>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</si>
  <si>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</si>
  <si>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</si>
  <si>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</si>
  <si>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</si>
  <si>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</si>
  <si>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</si>
  <si>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</si>
  <si>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</si>
  <si>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</si>
  <si>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</si>
  <si>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</si>
  <si>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</si>
  <si>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</si>
  <si>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</si>
  <si>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</si>
  <si>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</si>
  <si>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</si>
  <si>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</si>
  <si>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</si>
  <si>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</si>
  <si>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</si>
  <si>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</si>
  <si>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</si>
  <si>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</si>
  <si>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</si>
  <si>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</si>
  <si>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</si>
  <si>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</si>
  <si>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</si>
  <si>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</si>
  <si>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</si>
  <si>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</si>
  <si>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</si>
  <si>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</si>
  <si>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</si>
  <si>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</si>
  <si>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</si>
  <si>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</si>
  <si>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</si>
  <si>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</si>
  <si>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</si>
  <si>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</si>
  <si>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</si>
  <si>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</si>
  <si>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</si>
  <si>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</si>
  <si>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</si>
  <si>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</si>
  <si>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</si>
  <si>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</si>
  <si>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</si>
  <si>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</si>
  <si>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</si>
  <si>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</si>
  <si>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</si>
  <si>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</si>
  <si>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</si>
  <si>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</si>
  <si>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</si>
  <si>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</si>
  <si>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</si>
  <si>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</si>
  <si>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</si>
  <si>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</si>
  <si>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</si>
  <si>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</si>
  <si>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</si>
  <si>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</si>
  <si>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</si>
  <si>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</si>
  <si>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</si>
  <si>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</si>
  <si>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</si>
  <si>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</si>
  <si>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</si>
  <si>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</si>
  <si>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</si>
  <si>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</si>
  <si>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</si>
  <si>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</si>
  <si>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</si>
  <si>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</si>
  <si>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</si>
  <si>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</si>
  <si>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</si>
  <si>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</si>
  <si>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</si>
  <si>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</si>
  <si>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</si>
  <si>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</si>
  <si>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</si>
  <si>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</si>
  <si>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</si>
  <si>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</si>
  <si>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</si>
  <si>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</si>
  <si>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</si>
  <si>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</si>
  <si>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</si>
  <si>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</si>
  <si>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</si>
  <si>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</si>
  <si>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</si>
  <si>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</si>
  <si>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</si>
  <si>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</si>
  <si>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</si>
  <si>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</si>
  <si>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</si>
  <si>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</si>
  <si>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</si>
  <si>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</si>
  <si>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</si>
  <si>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</si>
  <si>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</si>
  <si>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</si>
  <si>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</si>
  <si>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</si>
  <si>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</si>
  <si>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</si>
  <si>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</si>
  <si>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</si>
  <si>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</si>
  <si>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</si>
  <si>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</si>
  <si>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</si>
  <si>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</si>
  <si>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</si>
  <si>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</si>
  <si>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</si>
  <si>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</si>
  <si>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</si>
  <si>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</si>
  <si>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</si>
  <si>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</si>
  <si>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</si>
  <si>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</si>
  <si>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</si>
  <si>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</si>
  <si>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</si>
  <si>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</si>
  <si>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</si>
  <si>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</si>
  <si>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</si>
  <si>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</si>
  <si>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</si>
  <si>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</si>
  <si>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</si>
  <si>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</si>
  <si>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</si>
  <si>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</si>
  <si>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</si>
  <si>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</si>
  <si>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</si>
  <si>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</si>
  <si>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</si>
  <si>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</si>
  <si>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</si>
  <si>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</si>
  <si>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</si>
  <si>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</si>
  <si>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</si>
  <si>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</si>
  <si>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</si>
  <si>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</si>
  <si>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</si>
  <si>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</si>
  <si>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</si>
  <si>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</si>
  <si>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</si>
  <si>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</si>
  <si>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</si>
  <si>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</si>
  <si>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</si>
  <si>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</si>
  <si>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</si>
  <si>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</si>
  <si>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</si>
  <si>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</si>
  <si>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</si>
  <si>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</si>
  <si>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</si>
  <si>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</si>
  <si>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</si>
  <si>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</si>
  <si>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</si>
  <si>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</si>
  <si>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</si>
  <si>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</si>
  <si>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</si>
  <si>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</si>
  <si>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</si>
  <si>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</si>
  <si>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</si>
  <si>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</si>
  <si>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</si>
  <si>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</si>
  <si>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</si>
  <si>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</si>
  <si>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</si>
  <si>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</si>
  <si>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</si>
  <si>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</si>
  <si>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</si>
  <si>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</si>
  <si>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</si>
  <si>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</si>
  <si>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</si>
  <si>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</si>
  <si>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</si>
  <si>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</si>
  <si>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</si>
  <si>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</si>
  <si>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</si>
  <si>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</si>
  <si>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</si>
  <si>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</si>
  <si>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</si>
  <si>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</si>
  <si>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</si>
  <si>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</si>
  <si>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</si>
  <si>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</si>
  <si>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</si>
  <si>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</si>
  <si>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</si>
  <si>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</si>
  <si>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</si>
  <si>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</si>
  <si>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</si>
  <si>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</si>
  <si>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</si>
  <si>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</si>
  <si>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</si>
  <si>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</si>
  <si>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</si>
  <si>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</si>
  <si>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</si>
  <si>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</si>
  <si>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</si>
  <si>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</si>
  <si>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</si>
  <si>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</si>
  <si>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</si>
  <si>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</si>
  <si>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</si>
  <si>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</si>
  <si>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</si>
  <si>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</si>
  <si>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</si>
  <si>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</si>
  <si>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</si>
  <si>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</si>
  <si>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</si>
  <si>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</si>
  <si>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</si>
  <si>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</si>
  <si>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</si>
  <si>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</si>
  <si>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</si>
  <si>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</si>
  <si>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</si>
  <si>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</si>
  <si>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</si>
  <si>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</si>
  <si>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</si>
  <si>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</si>
  <si>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</si>
  <si>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</si>
  <si>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</si>
  <si>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</si>
  <si>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</si>
  <si>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</si>
  <si>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</si>
  <si>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</si>
  <si>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</si>
  <si>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</si>
  <si>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</si>
  <si>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</si>
  <si>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</si>
  <si>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</si>
  <si>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</si>
  <si>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</si>
  <si>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</si>
  <si>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</si>
  <si>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</si>
  <si>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</si>
  <si>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</si>
  <si>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</si>
  <si>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</si>
  <si>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</si>
  <si>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</si>
  <si>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</si>
  <si>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</si>
  <si>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</si>
  <si>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</si>
  <si>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</si>
  <si>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</si>
  <si>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</si>
  <si>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</si>
  <si>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</si>
  <si>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</si>
  <si>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</si>
  <si>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</si>
  <si>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</si>
  <si>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</si>
  <si>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</si>
  <si>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</si>
  <si>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</si>
  <si>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</si>
  <si>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</si>
  <si>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</si>
  <si>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</si>
  <si>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</si>
  <si>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</si>
  <si>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</si>
  <si>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</si>
  <si>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</si>
  <si>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</si>
  <si>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</si>
  <si>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</si>
  <si>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</si>
  <si>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</si>
  <si>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</si>
  <si>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</si>
  <si>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</si>
  <si>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</si>
  <si>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</si>
  <si>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</si>
  <si>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</si>
  <si>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</si>
  <si>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</si>
  <si>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</si>
  <si>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</si>
  <si>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</si>
  <si>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</si>
  <si>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</si>
  <si>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</si>
  <si>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</si>
  <si>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</si>
  <si>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</si>
  <si>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</si>
  <si>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</si>
  <si>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</si>
  <si>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</si>
  <si>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</si>
  <si>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</si>
  <si>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</si>
  <si>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</si>
  <si>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</si>
  <si>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</si>
  <si>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</si>
  <si>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</si>
  <si>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</si>
  <si>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</si>
  <si>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</si>
  <si>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</si>
  <si>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</si>
  <si>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</si>
  <si>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</si>
  <si>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</si>
  <si>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</si>
  <si>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</si>
  <si>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</si>
  <si>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</si>
  <si>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</si>
  <si>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</si>
  <si>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</si>
  <si>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</si>
  <si>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</si>
  <si>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</si>
  <si>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</si>
  <si>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</si>
  <si>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</si>
  <si>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</si>
  <si>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</si>
  <si>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</si>
  <si>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</si>
  <si>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</si>
  <si>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</si>
  <si>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</si>
  <si>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</si>
  <si>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</si>
  <si>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</si>
  <si>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</si>
  <si>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</si>
  <si>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</si>
  <si>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</si>
  <si>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</si>
  <si>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</si>
  <si>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</si>
  <si>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</si>
  <si>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</si>
  <si>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</si>
  <si>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</si>
  <si>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</si>
  <si>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</si>
  <si>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</si>
  <si>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</si>
  <si>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</si>
  <si>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</si>
  <si>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</si>
  <si>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</si>
  <si>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</si>
  <si>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</si>
  <si>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</si>
  <si>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</si>
  <si>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</si>
  <si>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</si>
  <si>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</si>
  <si>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</si>
  <si>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</si>
  <si>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</si>
  <si>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</si>
  <si>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</si>
  <si>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</si>
  <si>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</si>
  <si>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</si>
  <si>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</si>
  <si>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</si>
  <si>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</si>
  <si>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</si>
  <si>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</si>
  <si>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</si>
  <si>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</si>
  <si>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</si>
  <si>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</si>
  <si>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</si>
  <si>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</si>
  <si>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</si>
  <si>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</si>
  <si>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</si>
  <si>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</si>
  <si>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</si>
  <si>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</si>
  <si>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</si>
  <si>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</si>
  <si>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</si>
  <si>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</si>
  <si>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</si>
  <si>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</si>
  <si>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</si>
  <si>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</si>
  <si>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</si>
  <si>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</si>
  <si>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</si>
  <si>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</si>
  <si>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</si>
  <si>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</si>
  <si>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</si>
  <si>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</si>
  <si>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</si>
  <si>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</si>
  <si>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</si>
  <si>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</si>
  <si>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</si>
  <si>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</si>
  <si>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</si>
  <si>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</si>
  <si>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</si>
  <si>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</si>
  <si>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</si>
  <si>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</si>
  <si>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</si>
  <si>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</si>
  <si>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</si>
  <si>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</si>
  <si>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</si>
  <si>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</si>
  <si>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</si>
  <si>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</si>
  <si>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</si>
  <si>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</si>
  <si>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</si>
  <si>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</si>
  <si>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</si>
  <si>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</si>
  <si>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</si>
  <si>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</si>
  <si>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</si>
  <si>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</si>
  <si>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</si>
  <si>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</si>
  <si>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</si>
  <si>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</si>
  <si>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</si>
  <si>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</si>
  <si>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</si>
  <si>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</si>
  <si>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</si>
  <si>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</si>
  <si>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</si>
  <si>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</si>
  <si>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</si>
  <si>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</si>
  <si>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</si>
  <si>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</si>
  <si>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</si>
  <si>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</si>
  <si>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</si>
  <si>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</si>
  <si>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</si>
  <si>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</si>
  <si>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</si>
  <si>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</si>
  <si>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</si>
  <si>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</si>
  <si>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</si>
  <si>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</si>
  <si>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</si>
  <si>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</si>
  <si>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</si>
  <si>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</si>
  <si>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</si>
  <si>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</si>
  <si>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</si>
  <si>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</si>
  <si>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</si>
  <si>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</si>
  <si>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</si>
  <si>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</si>
  <si>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</si>
  <si>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</si>
  <si>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</si>
  <si>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</si>
  <si>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</si>
  <si>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</si>
  <si>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</si>
  <si>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</si>
  <si>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</si>
  <si>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</si>
  <si>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</si>
  <si>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</si>
  <si>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</si>
  <si>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</si>
  <si>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</si>
  <si>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</si>
  <si>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</si>
  <si>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</si>
  <si>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</si>
  <si>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</si>
  <si>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</si>
  <si>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</si>
  <si>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</si>
  <si>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</si>
  <si>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</si>
  <si>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</si>
  <si>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</si>
  <si>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</si>
  <si>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</si>
  <si>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</si>
  <si>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</si>
  <si>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</si>
  <si>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</si>
  <si>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</si>
  <si>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</si>
  <si>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</si>
  <si>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</si>
  <si>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</si>
  <si>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</si>
  <si>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</si>
  <si>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</si>
  <si>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</si>
  <si>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</si>
  <si>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</si>
  <si>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</si>
  <si>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</si>
  <si>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</si>
  <si>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</si>
  <si>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</si>
  <si>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</si>
  <si>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</si>
  <si>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</si>
  <si>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</si>
  <si>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</si>
  <si>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</si>
  <si>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</si>
  <si>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</si>
  <si>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</si>
  <si>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</si>
  <si>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</si>
  <si>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</si>
  <si>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</si>
  <si>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</si>
  <si>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</si>
  <si>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</si>
  <si>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</si>
  <si>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</si>
  <si>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</si>
  <si>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</si>
  <si>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</si>
  <si>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</si>
  <si>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</si>
  <si>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</si>
  <si>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</si>
  <si>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</si>
  <si>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</si>
  <si>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</si>
  <si>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</si>
  <si>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</si>
  <si>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</si>
  <si>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</si>
  <si>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</si>
  <si>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</si>
  <si>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</si>
  <si>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</si>
  <si>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</si>
  <si>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</si>
  <si>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</si>
  <si>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</si>
  <si>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</si>
  <si>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</si>
  <si>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</si>
  <si>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</si>
  <si>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</si>
  <si>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</si>
  <si>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</si>
  <si>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</si>
  <si>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</si>
  <si>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</si>
  <si>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</si>
  <si>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</si>
  <si>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</si>
  <si>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</si>
  <si>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</si>
  <si>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</si>
  <si>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</si>
  <si>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</si>
  <si>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</si>
  <si>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</si>
  <si>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</si>
  <si>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</si>
  <si>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</si>
  <si>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</si>
  <si>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</si>
  <si>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</si>
  <si>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</si>
  <si>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</si>
  <si>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</si>
  <si>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</si>
  <si>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</si>
  <si>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</si>
  <si>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</si>
  <si>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</si>
  <si>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</si>
  <si>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</si>
  <si>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</si>
  <si>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</si>
  <si>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</si>
  <si>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</si>
  <si>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</si>
  <si>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</si>
  <si>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</si>
  <si>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</si>
  <si>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</si>
  <si>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</si>
  <si>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</si>
  <si>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</si>
  <si>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</si>
  <si>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</si>
  <si>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</si>
  <si>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</si>
  <si>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</si>
  <si>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</si>
  <si>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</si>
  <si>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</si>
  <si>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</si>
  <si>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</si>
  <si>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</si>
  <si>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</si>
  <si>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</si>
  <si>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</si>
  <si>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</si>
  <si>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</si>
  <si>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</si>
  <si>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</si>
  <si>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</si>
  <si>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</si>
  <si>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</si>
  <si>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</si>
  <si>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</si>
  <si>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</si>
  <si>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</si>
  <si>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</si>
  <si>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</si>
  <si>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</si>
  <si>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</si>
  <si>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</si>
  <si>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</si>
  <si>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</si>
  <si>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</si>
  <si>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</si>
  <si>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</si>
  <si>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</si>
  <si>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</si>
  <si>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</si>
  <si>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</si>
  <si>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</si>
  <si>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</si>
  <si>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</si>
  <si>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</si>
  <si>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</si>
  <si>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</si>
  <si>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</si>
  <si>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</si>
  <si>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</si>
  <si>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</si>
  <si>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</si>
  <si>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</si>
  <si>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</si>
  <si>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</si>
  <si>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</si>
  <si>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</si>
  <si>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</si>
  <si>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</si>
  <si>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</si>
  <si>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</si>
  <si>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</si>
  <si>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</si>
  <si>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</si>
  <si>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</si>
  <si>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</si>
  <si>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</si>
  <si>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</si>
  <si>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</si>
  <si>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</si>
  <si>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</si>
  <si>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</si>
  <si>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</si>
  <si>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</si>
  <si>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</si>
  <si>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</si>
  <si>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</si>
  <si>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</si>
  <si>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</si>
  <si>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</si>
  <si>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</si>
  <si>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</si>
  <si>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</si>
  <si>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</si>
  <si>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</si>
  <si>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</si>
  <si>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</si>
  <si>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</si>
  <si>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</si>
  <si>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</si>
  <si>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</si>
  <si>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</si>
  <si>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</si>
  <si>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</si>
  <si>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</si>
  <si>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</si>
  <si>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</si>
  <si>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</si>
  <si>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</si>
  <si>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</si>
  <si>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</si>
  <si>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</si>
  <si>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</si>
  <si>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</si>
  <si>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</si>
  <si>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</si>
  <si>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</si>
  <si>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</si>
  <si>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</si>
  <si>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</si>
  <si>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</si>
  <si>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</si>
  <si>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</si>
  <si>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</si>
  <si>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</si>
  <si>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</si>
  <si>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</si>
  <si>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</si>
  <si>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</si>
  <si>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</si>
  <si>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</si>
  <si>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</si>
  <si>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</si>
  <si>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</si>
  <si>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</si>
  <si>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</si>
  <si>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</si>
  <si>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</si>
  <si>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</si>
  <si>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</si>
  <si>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</si>
  <si>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</si>
  <si>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</si>
  <si>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</si>
  <si>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</si>
  <si>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</si>
  <si>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</si>
  <si>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</si>
  <si>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</si>
  <si>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</si>
  <si>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</si>
  <si>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</si>
  <si>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</si>
  <si>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</si>
  <si>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</si>
  <si>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</si>
  <si>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</si>
  <si>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</si>
  <si>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</si>
  <si>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</si>
  <si>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</si>
  <si>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</si>
  <si>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</si>
  <si>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</si>
  <si>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</si>
  <si>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</si>
  <si>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</si>
  <si>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</si>
  <si>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</si>
  <si>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</si>
  <si>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</si>
  <si>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</si>
  <si>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</si>
  <si>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</si>
  <si>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</si>
  <si>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</si>
  <si>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</si>
  <si>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</si>
  <si>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</si>
  <si>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</si>
  <si>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</si>
  <si>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</si>
  <si>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</si>
  <si>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</si>
  <si>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</si>
  <si>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</si>
  <si>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</si>
  <si>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</si>
  <si>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</si>
  <si>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</si>
  <si>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</si>
  <si>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</si>
  <si>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</si>
  <si>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</si>
  <si>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</si>
  <si>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</si>
  <si>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</si>
  <si>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</si>
  <si>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</si>
  <si>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</si>
  <si>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</si>
  <si>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</si>
  <si>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</si>
  <si>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</si>
  <si>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</si>
  <si>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Healthtrust Refund of $905,354.00 Included here.</t>
  </si>
  <si>
    <t>07/03</t>
  </si>
  <si>
    <t>07/23</t>
  </si>
  <si>
    <t>01/11</t>
  </si>
  <si>
    <t>07/19</t>
  </si>
  <si>
    <t>Healthtrust Refund of $305302.65 Paid Out to Employees Included here.</t>
  </si>
  <si>
    <t>Derry Cooperative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</si>
</sst>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G665" sqref="G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917</v>
      </c>
      <c r="B2" s="21">
        <v>131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4331730.17-67957.67+200</f>
        <v>4263972.5</v>
      </c>
      <c r="G9" s="18">
        <v>925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211463.82</v>
      </c>
      <c r="G12" s="18">
        <v>227610.19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170179.62</v>
      </c>
      <c r="G13" s="18">
        <v>38120.81</v>
      </c>
      <c r="H13" s="18">
        <v>437171.47</v>
      </c>
      <c r="I13" s="18"/>
      <c r="J13" s="67">
        <f>SUM(I442)</f>
        <v>183126.76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2493.35+39299.35</f>
        <v>41792.699999999997</v>
      </c>
      <c r="G14" s="18">
        <v>2512.98</v>
      </c>
      <c r="H14" s="18">
        <v>11312.05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39072.519999999997</v>
      </c>
      <c r="G16" s="18">
        <v>67931.06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4726481.16</v>
      </c>
      <c r="G19" s="41">
        <f>SUM(G9:G18)</f>
        <v>337100.04</v>
      </c>
      <c r="H19" s="41">
        <f>SUM(H9:H18)</f>
        <v>448483.51999999996</v>
      </c>
      <c r="I19" s="41">
        <f>SUM(I9:I18)</f>
        <v>0</v>
      </c>
      <c r="J19" s="41">
        <f>SUM(J9:J18)</f>
        <v>183126.76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f>1902.54+437171.47</f>
        <v>439074.00999999995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686896.08</v>
      </c>
      <c r="G24" s="18">
        <v>322.8</v>
      </c>
      <c r="H24" s="18">
        <v>935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754435.59-2815.42-243635.45</f>
        <v>507984.71999999991</v>
      </c>
      <c r="G28" s="18">
        <f>3564.6-0.5</f>
        <v>3564.1</v>
      </c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53900</v>
      </c>
      <c r="G30" s="18">
        <v>29643.63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1248780.7999999998</v>
      </c>
      <c r="G32" s="41">
        <f>SUM(G22:G31)</f>
        <v>33530.53</v>
      </c>
      <c r="H32" s="41">
        <f>SUM(H22:H31)</f>
        <v>440009.00999999995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39072.519999999997</v>
      </c>
      <c r="G35" s="18">
        <v>67931.06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f>249815.17-6640.57-1360328.02+1352791.87</f>
        <v>235638.45000000019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f>8441.91+77047.43-77014.83</f>
        <v>8474.5099999999948</v>
      </c>
      <c r="I48" s="18"/>
      <c r="J48" s="13">
        <f>SUM(I459)</f>
        <v>183126.76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189992.97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3380346.91-39072.52-189992.97-146282+243635.45</f>
        <v>3248634.87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3477700.3600000003</v>
      </c>
      <c r="G51" s="41">
        <f>SUM(G35:G50)</f>
        <v>303569.51000000018</v>
      </c>
      <c r="H51" s="41">
        <f>SUM(H35:H50)</f>
        <v>8474.5099999999948</v>
      </c>
      <c r="I51" s="41">
        <f>SUM(I35:I50)</f>
        <v>0</v>
      </c>
      <c r="J51" s="41">
        <f>SUM(J35:J50)</f>
        <v>183126.76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4726481.16</v>
      </c>
      <c r="G52" s="41">
        <f>G51+G32</f>
        <v>337100.04000000015</v>
      </c>
      <c r="H52" s="41">
        <f>H51+H32</f>
        <v>448483.51999999996</v>
      </c>
      <c r="I52" s="41">
        <f>I51+I32</f>
        <v>0</v>
      </c>
      <c r="J52" s="41">
        <f>J51+J32</f>
        <v>183126.76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40063577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40063577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f>372553+73513</f>
        <v>446066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12868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f>67258.5+12754.72</f>
        <v>80013.22</v>
      </c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538947.22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1263.76</v>
      </c>
      <c r="G96" s="18"/>
      <c r="H96" s="18"/>
      <c r="I96" s="18"/>
      <c r="J96" s="18">
        <v>313.06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149163.98+189269.23+3278.35+413338.77+79909.07+51312.25+70956.02+85300.26+100245.54</f>
        <v>1142773.4700000002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84154.9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32310.17+905354+165469+97.31+92022.62+1029.4+2314+779.3+554.05+1340.85+1919.6+1595.4+4943.9+1776.75+195.08+13+32+157.88+623.83+473+370.5+18679.83</f>
        <v>1232051.4700000002</v>
      </c>
      <c r="G110" s="18"/>
      <c r="H110" s="18">
        <v>77047.429999999993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1317470.1300000001</v>
      </c>
      <c r="G111" s="41">
        <f>SUM(G96:G110)</f>
        <v>1142773.4700000002</v>
      </c>
      <c r="H111" s="41">
        <f>SUM(H96:H110)</f>
        <v>77047.429999999993</v>
      </c>
      <c r="I111" s="41">
        <f>SUM(I96:I110)</f>
        <v>0</v>
      </c>
      <c r="J111" s="41">
        <f>SUM(J96:J110)</f>
        <v>313.06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41919994.350000001</v>
      </c>
      <c r="G112" s="41">
        <f>G60+G111</f>
        <v>1142773.4700000002</v>
      </c>
      <c r="H112" s="41">
        <f>H60+H79+H94+H111</f>
        <v>77047.429999999993</v>
      </c>
      <c r="I112" s="41">
        <f>I60+I111</f>
        <v>0</v>
      </c>
      <c r="J112" s="41">
        <f>J60+J111</f>
        <v>313.06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25215065.789999999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5985888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31200953.789999999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564659.09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760067.57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20599.82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1324726.6599999999</v>
      </c>
      <c r="G136" s="41">
        <f>SUM(G123:G135)</f>
        <v>20599.82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32525680.449999999</v>
      </c>
      <c r="G140" s="41">
        <f>G121+SUM(G136:G137)</f>
        <v>20599.82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57296.73+622007.8+20498.35+53104.3</f>
        <v>752907.18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1761621.19-53104.3-20498.35</f>
        <v>1688018.5399999998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f>1218.34+78379.97</f>
        <v>79598.31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21430.41+85412.62+2293.12+80282.43</f>
        <v>189418.58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495471.78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495471.78</v>
      </c>
      <c r="G162" s="41">
        <f>SUM(G150:G161)</f>
        <v>189418.58</v>
      </c>
      <c r="H162" s="41">
        <f>SUM(H150:H161)</f>
        <v>2520524.0299999998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495471.78</v>
      </c>
      <c r="G169" s="41">
        <f>G147+G162+SUM(G163:G168)</f>
        <v>189418.58</v>
      </c>
      <c r="H169" s="41">
        <f>H147+H162+SUM(H163:H168)</f>
        <v>2520524.0299999998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74941146.579999998</v>
      </c>
      <c r="G193" s="47">
        <f>G112+G140+G169+G192</f>
        <v>1352791.8700000003</v>
      </c>
      <c r="H193" s="47">
        <f>H112+H140+H169+H192</f>
        <v>2597571.46</v>
      </c>
      <c r="I193" s="47">
        <f>I112+I140+I169+I192</f>
        <v>0</v>
      </c>
      <c r="J193" s="47">
        <f>J112+J140+J192</f>
        <v>313.06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8009607.53-75622.2</f>
        <v>7933985.3300000001</v>
      </c>
      <c r="G197" s="18">
        <f>4425463.32-17635.1</f>
        <v>4407828.2200000007</v>
      </c>
      <c r="H197" s="18">
        <v>225</v>
      </c>
      <c r="I197" s="18">
        <f>180015.64+1000</f>
        <v>181015.64</v>
      </c>
      <c r="J197" s="18">
        <v>10369.780000000001</v>
      </c>
      <c r="K197" s="18">
        <v>0</v>
      </c>
      <c r="L197" s="19">
        <f>SUM(F197:K197)</f>
        <v>12533423.970000001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3734950.58-38899.65</f>
        <v>3696050.93</v>
      </c>
      <c r="G198" s="18">
        <f>1671691.53-6095.58-2975.82</f>
        <v>1662620.13</v>
      </c>
      <c r="H198" s="18">
        <f>586897.25+36244.43</f>
        <v>623141.68000000005</v>
      </c>
      <c r="I198" s="18">
        <v>13332.58</v>
      </c>
      <c r="J198" s="18">
        <v>13905.45</v>
      </c>
      <c r="K198" s="18">
        <v>2463.38</v>
      </c>
      <c r="L198" s="19">
        <f>SUM(F198:K198)</f>
        <v>6011514.1500000004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63279.53</v>
      </c>
      <c r="G200" s="18">
        <v>11928.16</v>
      </c>
      <c r="H200" s="18">
        <v>0</v>
      </c>
      <c r="I200" s="18">
        <v>756.21</v>
      </c>
      <c r="J200" s="18">
        <v>0</v>
      </c>
      <c r="K200" s="18">
        <v>0</v>
      </c>
      <c r="L200" s="19">
        <f>SUM(F200:K200)</f>
        <v>75963.900000000009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1916425.19</f>
        <v>1916425.19</v>
      </c>
      <c r="G202" s="18">
        <f>1015826.57+7241.46-3049.01-2088.18</f>
        <v>1017930.8399999999</v>
      </c>
      <c r="H202" s="18">
        <v>967852.7</v>
      </c>
      <c r="I202" s="18">
        <f>15630.02+133.24</f>
        <v>15763.26</v>
      </c>
      <c r="J202" s="18">
        <v>0</v>
      </c>
      <c r="K202" s="18">
        <v>0</v>
      </c>
      <c r="L202" s="19">
        <f t="shared" ref="L202:L208" si="0">SUM(F202:K202)</f>
        <v>3917971.9899999993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413870.66+42989-4400.24</f>
        <v>452459.42</v>
      </c>
      <c r="G203" s="18">
        <f>213918.54+11892.54-4193.48</f>
        <v>221617.6</v>
      </c>
      <c r="H203" s="18">
        <v>54187.02</v>
      </c>
      <c r="I203" s="18">
        <v>91999.51</v>
      </c>
      <c r="J203" s="18">
        <v>31110.53</v>
      </c>
      <c r="K203" s="18">
        <v>383.67</v>
      </c>
      <c r="L203" s="19">
        <f t="shared" si="0"/>
        <v>851757.75000000012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296405.11</v>
      </c>
      <c r="G204" s="18">
        <v>134904.47</v>
      </c>
      <c r="H204" s="18">
        <f>86555.71+21767.13</f>
        <v>108322.84000000001</v>
      </c>
      <c r="I204" s="18">
        <f>8298.58+90</f>
        <v>8388.58</v>
      </c>
      <c r="J204" s="18">
        <v>0</v>
      </c>
      <c r="K204" s="18">
        <v>8512.99</v>
      </c>
      <c r="L204" s="19">
        <f t="shared" si="0"/>
        <v>556533.98999999987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1119341.8600000001</v>
      </c>
      <c r="G205" s="18">
        <v>723190.63</v>
      </c>
      <c r="H205" s="18">
        <v>52693.24</v>
      </c>
      <c r="I205" s="18">
        <v>17507.27</v>
      </c>
      <c r="J205" s="18">
        <v>426.69</v>
      </c>
      <c r="K205" s="18">
        <v>8890</v>
      </c>
      <c r="L205" s="19">
        <f t="shared" si="0"/>
        <v>1922049.6900000002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197335.79</v>
      </c>
      <c r="G206" s="18">
        <v>98642.11</v>
      </c>
      <c r="H206" s="18">
        <v>232.11</v>
      </c>
      <c r="I206" s="18">
        <v>1288.8499999999999</v>
      </c>
      <c r="J206" s="18">
        <v>0</v>
      </c>
      <c r="K206" s="18">
        <v>2196.3200000000002</v>
      </c>
      <c r="L206" s="19">
        <f t="shared" si="0"/>
        <v>299695.18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857077.32-20239.92</f>
        <v>836837.39999999991</v>
      </c>
      <c r="G207" s="18">
        <f>488361.62+5400-1548.36-2260.8</f>
        <v>489952.46</v>
      </c>
      <c r="H207" s="18">
        <f>422194.24+26336.12</f>
        <v>448530.36</v>
      </c>
      <c r="I207" s="18">
        <v>935807.69</v>
      </c>
      <c r="J207" s="18">
        <v>0</v>
      </c>
      <c r="K207" s="18">
        <v>0</v>
      </c>
      <c r="L207" s="19">
        <f t="shared" si="0"/>
        <v>2711127.9099999997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0</v>
      </c>
      <c r="G208" s="18">
        <v>0</v>
      </c>
      <c r="H208" s="18">
        <v>1144077.3600000001</v>
      </c>
      <c r="I208" s="18">
        <v>0</v>
      </c>
      <c r="J208" s="18">
        <v>0</v>
      </c>
      <c r="K208" s="18">
        <v>0</v>
      </c>
      <c r="L208" s="19">
        <f t="shared" si="0"/>
        <v>1144077.3600000001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0</v>
      </c>
      <c r="G209" s="18">
        <v>0</v>
      </c>
      <c r="H209" s="18">
        <v>0</v>
      </c>
      <c r="I209" s="18">
        <v>31729.09</v>
      </c>
      <c r="J209" s="18">
        <v>0</v>
      </c>
      <c r="K209" s="18">
        <v>0</v>
      </c>
      <c r="L209" s="19">
        <f>SUM(F209:K209)</f>
        <v>31729.09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16512120.559999997</v>
      </c>
      <c r="G211" s="41">
        <f t="shared" si="1"/>
        <v>8768614.620000001</v>
      </c>
      <c r="H211" s="41">
        <f t="shared" si="1"/>
        <v>3399262.3100000005</v>
      </c>
      <c r="I211" s="41">
        <f t="shared" si="1"/>
        <v>1297588.68</v>
      </c>
      <c r="J211" s="41">
        <f t="shared" si="1"/>
        <v>55812.450000000004</v>
      </c>
      <c r="K211" s="41">
        <f t="shared" si="1"/>
        <v>22446.36</v>
      </c>
      <c r="L211" s="41">
        <f t="shared" si="1"/>
        <v>30055844.979999997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4917511.58</v>
      </c>
      <c r="G215" s="18">
        <v>2503261.4300000002</v>
      </c>
      <c r="H215" s="18">
        <v>2234.8000000000002</v>
      </c>
      <c r="I215" s="18">
        <f>53899.71+1826</f>
        <v>55725.71</v>
      </c>
      <c r="J215" s="18">
        <v>36602.839999999997</v>
      </c>
      <c r="K215" s="18">
        <v>0</v>
      </c>
      <c r="L215" s="19">
        <f>SUM(F215:K215)</f>
        <v>7515336.3599999994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1829207.29-37240.05</f>
        <v>1791967.24</v>
      </c>
      <c r="G216" s="18">
        <f>857834.92-2848.86-5835.52</f>
        <v>849150.54</v>
      </c>
      <c r="H216" s="18">
        <v>414659.63</v>
      </c>
      <c r="I216" s="18">
        <v>3384.91</v>
      </c>
      <c r="J216" s="18">
        <v>9270.2999999999993</v>
      </c>
      <c r="K216" s="18">
        <v>1642.24</v>
      </c>
      <c r="L216" s="19">
        <f>SUM(F216:K216)</f>
        <v>3070074.8600000003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157354.51</v>
      </c>
      <c r="G218" s="18">
        <v>27609.37</v>
      </c>
      <c r="H218" s="18">
        <v>19320.400000000001</v>
      </c>
      <c r="I218" s="18">
        <v>12279</v>
      </c>
      <c r="J218" s="18">
        <v>2684.22</v>
      </c>
      <c r="K218" s="18">
        <f>5380-0.2</f>
        <v>5379.8</v>
      </c>
      <c r="L218" s="19">
        <f>SUM(F218:K218)</f>
        <v>224627.3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1263874.5</v>
      </c>
      <c r="G220" s="18">
        <v>582727.72</v>
      </c>
      <c r="H220" s="18">
        <f>134764.54+13172.74-133.24</f>
        <v>147804.04</v>
      </c>
      <c r="I220" s="18">
        <v>10313.32</v>
      </c>
      <c r="J220" s="18">
        <v>0</v>
      </c>
      <c r="K220" s="18">
        <v>0</v>
      </c>
      <c r="L220" s="19">
        <f t="shared" ref="L220:L226" si="2">SUM(F220:K220)</f>
        <v>2004719.58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164408.26+25247.51-2584.27</f>
        <v>187071.50000000003</v>
      </c>
      <c r="G221" s="18">
        <f>105886.39+6984.51-2462.84</f>
        <v>110408.06</v>
      </c>
      <c r="H221" s="18">
        <v>158188.09</v>
      </c>
      <c r="I221" s="18">
        <v>54584.76</v>
      </c>
      <c r="J221" s="18">
        <v>26472.26</v>
      </c>
      <c r="K221" s="18">
        <v>225.33</v>
      </c>
      <c r="L221" s="19">
        <f t="shared" si="2"/>
        <v>536950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174079.19</v>
      </c>
      <c r="G222" s="18">
        <v>79229.61</v>
      </c>
      <c r="H222" s="18">
        <v>50834.3</v>
      </c>
      <c r="I222" s="18">
        <v>4873.7700000000004</v>
      </c>
      <c r="J222" s="18">
        <v>0</v>
      </c>
      <c r="K222" s="18">
        <v>4999.6899999999996</v>
      </c>
      <c r="L222" s="19">
        <f t="shared" si="2"/>
        <v>314016.56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858067.92</v>
      </c>
      <c r="G223" s="18">
        <v>482041.98</v>
      </c>
      <c r="H223" s="18">
        <v>26942.799999999999</v>
      </c>
      <c r="I223" s="18">
        <v>10795.08</v>
      </c>
      <c r="J223" s="18">
        <v>939.95</v>
      </c>
      <c r="K223" s="18">
        <v>4039.5</v>
      </c>
      <c r="L223" s="19">
        <f t="shared" si="2"/>
        <v>1382827.23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115895.61</v>
      </c>
      <c r="G224" s="18">
        <v>57932.66</v>
      </c>
      <c r="H224" s="18">
        <v>136.31</v>
      </c>
      <c r="I224" s="18">
        <v>756.93</v>
      </c>
      <c r="J224" s="18">
        <v>0</v>
      </c>
      <c r="K224" s="18">
        <v>1289.8900000000001</v>
      </c>
      <c r="L224" s="19">
        <f t="shared" si="2"/>
        <v>176011.40000000002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495462.58</v>
      </c>
      <c r="G225" s="18">
        <f>255828.53+19100-450.92</f>
        <v>274477.61000000004</v>
      </c>
      <c r="H225" s="18">
        <f>270732.1+44842.58</f>
        <v>315574.68</v>
      </c>
      <c r="I225" s="18">
        <v>579812.43000000005</v>
      </c>
      <c r="J225" s="18">
        <v>0</v>
      </c>
      <c r="K225" s="18">
        <v>0</v>
      </c>
      <c r="L225" s="19">
        <f t="shared" si="2"/>
        <v>1665327.3000000003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0</v>
      </c>
      <c r="G226" s="18">
        <v>0</v>
      </c>
      <c r="H226" s="18">
        <v>686446.4</v>
      </c>
      <c r="I226" s="18">
        <v>0</v>
      </c>
      <c r="J226" s="18"/>
      <c r="K226" s="18"/>
      <c r="L226" s="19">
        <f t="shared" si="2"/>
        <v>686446.4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0</v>
      </c>
      <c r="G227" s="18">
        <v>0</v>
      </c>
      <c r="H227" s="18">
        <v>0</v>
      </c>
      <c r="I227" s="18">
        <f>19452.66+2093</f>
        <v>21545.66</v>
      </c>
      <c r="J227" s="18">
        <v>0</v>
      </c>
      <c r="K227" s="18">
        <v>0</v>
      </c>
      <c r="L227" s="19">
        <f>SUM(F227:K227)</f>
        <v>21545.66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9961284.629999999</v>
      </c>
      <c r="G229" s="41">
        <f>SUM(G215:G228)</f>
        <v>4966838.9800000014</v>
      </c>
      <c r="H229" s="41">
        <f>SUM(H215:H228)</f>
        <v>1822141.4500000002</v>
      </c>
      <c r="I229" s="41">
        <f>SUM(I215:I228)</f>
        <v>754071.57000000007</v>
      </c>
      <c r="J229" s="41">
        <f>SUM(J215:J228)</f>
        <v>75969.569999999992</v>
      </c>
      <c r="K229" s="41">
        <f t="shared" si="3"/>
        <v>17576.45</v>
      </c>
      <c r="L229" s="41">
        <f t="shared" si="3"/>
        <v>17597882.649999999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f>20247632.35-289690.78</f>
        <v>19957941.57</v>
      </c>
      <c r="I233" s="18"/>
      <c r="J233" s="18"/>
      <c r="K233" s="18"/>
      <c r="L233" s="19">
        <f>SUM(F233:K233)</f>
        <v>19957941.57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5209678.87</v>
      </c>
      <c r="I234" s="18"/>
      <c r="J234" s="18"/>
      <c r="K234" s="18"/>
      <c r="L234" s="19">
        <f>SUM(F234:K234)</f>
        <v>5209678.87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>
        <v>74155.520000000004</v>
      </c>
      <c r="I238" s="18"/>
      <c r="J238" s="18"/>
      <c r="K238" s="18"/>
      <c r="L238" s="19">
        <f t="shared" ref="L238:L244" si="4">SUM(F238:K238)</f>
        <v>74155.520000000004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1029669.62</v>
      </c>
      <c r="I244" s="18"/>
      <c r="J244" s="18"/>
      <c r="K244" s="18"/>
      <c r="L244" s="19">
        <f t="shared" si="4"/>
        <v>1029669.62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26271445.580000002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26271445.580000002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f>22759.47+45492.52</f>
        <v>68251.989999999991</v>
      </c>
      <c r="G251" s="18">
        <f>222.35+5205.94</f>
        <v>5428.29</v>
      </c>
      <c r="H251" s="18">
        <f>5834.25+3600+470.87+3817.92+79.56+37.69</f>
        <v>13840.29</v>
      </c>
      <c r="I251" s="18">
        <v>4854.22</v>
      </c>
      <c r="J251" s="18"/>
      <c r="K251" s="18"/>
      <c r="L251" s="19">
        <f t="shared" si="6"/>
        <v>92374.789999999979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68251.989999999991</v>
      </c>
      <c r="G256" s="41">
        <f t="shared" si="7"/>
        <v>5428.29</v>
      </c>
      <c r="H256" s="41">
        <f t="shared" si="7"/>
        <v>13840.29</v>
      </c>
      <c r="I256" s="41">
        <f t="shared" si="7"/>
        <v>4854.22</v>
      </c>
      <c r="J256" s="41">
        <f t="shared" si="7"/>
        <v>0</v>
      </c>
      <c r="K256" s="41">
        <f t="shared" si="7"/>
        <v>0</v>
      </c>
      <c r="L256" s="41">
        <f>SUM(F256:K256)</f>
        <v>92374.789999999979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26541657.179999996</v>
      </c>
      <c r="G257" s="41">
        <f t="shared" si="8"/>
        <v>13740881.890000001</v>
      </c>
      <c r="H257" s="41">
        <f t="shared" si="8"/>
        <v>31506689.630000003</v>
      </c>
      <c r="I257" s="41">
        <f t="shared" si="8"/>
        <v>2056514.47</v>
      </c>
      <c r="J257" s="41">
        <f t="shared" si="8"/>
        <v>131782.01999999999</v>
      </c>
      <c r="K257" s="41">
        <f t="shared" si="8"/>
        <v>40022.81</v>
      </c>
      <c r="L257" s="41">
        <f t="shared" si="8"/>
        <v>74017548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1485000</v>
      </c>
      <c r="L260" s="19">
        <f>SUM(F260:K260)</f>
        <v>1485000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f>45384.37+460500</f>
        <v>505884.37</v>
      </c>
      <c r="L261" s="19">
        <f>SUM(F261:K261)</f>
        <v>505884.37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289690.78000000003</v>
      </c>
      <c r="L268" s="19">
        <f t="shared" si="9"/>
        <v>289690.78000000003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2280575.1500000004</v>
      </c>
      <c r="L270" s="41">
        <f t="shared" si="9"/>
        <v>2280575.1500000004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26541657.179999996</v>
      </c>
      <c r="G271" s="42">
        <f t="shared" si="11"/>
        <v>13740881.890000001</v>
      </c>
      <c r="H271" s="42">
        <f t="shared" si="11"/>
        <v>31506689.630000003</v>
      </c>
      <c r="I271" s="42">
        <f t="shared" si="11"/>
        <v>2056514.47</v>
      </c>
      <c r="J271" s="42">
        <f t="shared" si="11"/>
        <v>131782.01999999999</v>
      </c>
      <c r="K271" s="42">
        <f t="shared" si="11"/>
        <v>2320597.9600000004</v>
      </c>
      <c r="L271" s="42">
        <f t="shared" si="11"/>
        <v>76298123.150000006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2400+1342+2000+1852.5+6873.3+106137.36+373885.4</f>
        <v>494490.56000000006</v>
      </c>
      <c r="G276" s="18">
        <f>135.94+212.4+183.6+102.67+141.94+51.7+26.93+89.51+17.4+22789.57+113619.04</f>
        <v>137370.69999999998</v>
      </c>
      <c r="H276" s="18">
        <f>3175+975</f>
        <v>4150</v>
      </c>
      <c r="I276" s="18">
        <f>2037.04+563.99+747.9+678+599.7+7785.23+204.75</f>
        <v>12616.61</v>
      </c>
      <c r="J276" s="18">
        <f>2962.53+933.03</f>
        <v>3895.5600000000004</v>
      </c>
      <c r="K276" s="18"/>
      <c r="L276" s="19">
        <f>SUM(F276:K276)</f>
        <v>652523.43000000005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13778+395429.97</f>
        <v>409207.97</v>
      </c>
      <c r="G277" s="18">
        <f>1000+1130.49+120375.57</f>
        <v>122506.06000000001</v>
      </c>
      <c r="H277" s="18">
        <f>1500+158574.59</f>
        <v>160074.59</v>
      </c>
      <c r="I277" s="18">
        <v>4033.32</v>
      </c>
      <c r="J277" s="18">
        <v>577.08000000000004</v>
      </c>
      <c r="K277" s="18">
        <f>2740.05+17746.54</f>
        <v>20486.59</v>
      </c>
      <c r="L277" s="19">
        <f>SUM(F277:K277)</f>
        <v>716885.60999999987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1555.55</v>
      </c>
      <c r="G279" s="18">
        <v>307.04000000000002</v>
      </c>
      <c r="H279" s="18"/>
      <c r="I279" s="18">
        <v>330.47</v>
      </c>
      <c r="J279" s="18"/>
      <c r="K279" s="18"/>
      <c r="L279" s="19">
        <f>SUM(F279:K279)</f>
        <v>2193.06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f>90844.17+1250</f>
        <v>92094.17</v>
      </c>
      <c r="G281" s="18">
        <f>7645.5+272.63</f>
        <v>7918.13</v>
      </c>
      <c r="H281" s="18">
        <f>7009.19+162828.18+60+5354+15099.76</f>
        <v>190351.13</v>
      </c>
      <c r="I281" s="18">
        <f>2327.31+8.5+4.05+827.76</f>
        <v>3167.62</v>
      </c>
      <c r="J281" s="18">
        <v>25829.81</v>
      </c>
      <c r="K281" s="18">
        <f>429.03+4680.41+232.71+25.16</f>
        <v>5367.3099999999995</v>
      </c>
      <c r="L281" s="19">
        <f t="shared" ref="L281:L287" si="12">SUM(F281:K281)</f>
        <v>324728.17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20880+200+1008</f>
        <v>22088</v>
      </c>
      <c r="G282" s="18">
        <f>3128.3+28.32+15.3+72.32</f>
        <v>3244.2400000000007</v>
      </c>
      <c r="H282" s="18">
        <f>35234.02+1692.96+309.12+4961.25</f>
        <v>42197.35</v>
      </c>
      <c r="I282" s="18">
        <f>2862.95+492.29+2463.71</f>
        <v>5818.95</v>
      </c>
      <c r="J282" s="18">
        <f>32023.71+1382.69+3798.34+7598.5</f>
        <v>44803.240000000005</v>
      </c>
      <c r="K282" s="18">
        <v>7982.3</v>
      </c>
      <c r="L282" s="19">
        <f t="shared" si="12"/>
        <v>126134.08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52225</v>
      </c>
      <c r="I287" s="18"/>
      <c r="J287" s="18"/>
      <c r="K287" s="18"/>
      <c r="L287" s="19">
        <f t="shared" si="12"/>
        <v>52225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1019436.2500000001</v>
      </c>
      <c r="G290" s="42">
        <f t="shared" si="13"/>
        <v>271346.17</v>
      </c>
      <c r="H290" s="42">
        <f t="shared" si="13"/>
        <v>448998.06999999995</v>
      </c>
      <c r="I290" s="42">
        <f t="shared" si="13"/>
        <v>25966.97</v>
      </c>
      <c r="J290" s="42">
        <f t="shared" si="13"/>
        <v>75105.69</v>
      </c>
      <c r="K290" s="42">
        <f t="shared" si="13"/>
        <v>33836.200000000004</v>
      </c>
      <c r="L290" s="41">
        <f t="shared" si="13"/>
        <v>1874689.35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f>4036.7+62334.64</f>
        <v>66371.34</v>
      </c>
      <c r="G295" s="18">
        <v>13384.35</v>
      </c>
      <c r="H295" s="18"/>
      <c r="I295" s="18">
        <v>120.25</v>
      </c>
      <c r="J295" s="18">
        <v>547.97</v>
      </c>
      <c r="K295" s="18">
        <f>60.42+790.59+173.04+169.42</f>
        <v>1193.47</v>
      </c>
      <c r="L295" s="19">
        <f>SUM(F295:K295)</f>
        <v>81617.38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232236.65</v>
      </c>
      <c r="G296" s="18">
        <v>70696.759999999995</v>
      </c>
      <c r="H296" s="18">
        <v>93131.11</v>
      </c>
      <c r="I296" s="18">
        <v>2368.77</v>
      </c>
      <c r="J296" s="18">
        <v>338.92</v>
      </c>
      <c r="K296" s="18">
        <v>804.5</v>
      </c>
      <c r="L296" s="19">
        <f>SUM(F296:K296)</f>
        <v>399576.70999999996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>
        <f>95629.25+80.76</f>
        <v>95710.01</v>
      </c>
      <c r="I300" s="18">
        <v>486.14</v>
      </c>
      <c r="J300" s="18">
        <v>15169.89</v>
      </c>
      <c r="K300" s="18">
        <v>251.97</v>
      </c>
      <c r="L300" s="19">
        <f t="shared" ref="L300:L306" si="14">SUM(F300:K300)</f>
        <v>111618.01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592</v>
      </c>
      <c r="G301" s="18">
        <v>42.48</v>
      </c>
      <c r="H301" s="18">
        <v>2913.75</v>
      </c>
      <c r="I301" s="18"/>
      <c r="J301" s="18">
        <f>18807.58+1712.71</f>
        <v>20520.29</v>
      </c>
      <c r="K301" s="18">
        <f>283.01+0.14+7.73</f>
        <v>290.88</v>
      </c>
      <c r="L301" s="19">
        <f t="shared" si="14"/>
        <v>24359.4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299199.99</v>
      </c>
      <c r="G309" s="42">
        <f t="shared" si="15"/>
        <v>84123.59</v>
      </c>
      <c r="H309" s="42">
        <f t="shared" si="15"/>
        <v>191754.87</v>
      </c>
      <c r="I309" s="42">
        <f t="shared" si="15"/>
        <v>2975.16</v>
      </c>
      <c r="J309" s="42">
        <f t="shared" si="15"/>
        <v>36577.07</v>
      </c>
      <c r="K309" s="42">
        <f t="shared" si="15"/>
        <v>2540.8200000000002</v>
      </c>
      <c r="L309" s="41">
        <f t="shared" si="15"/>
        <v>617171.5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>
        <v>350.99</v>
      </c>
      <c r="I314" s="18"/>
      <c r="J314" s="18"/>
      <c r="K314" s="18"/>
      <c r="L314" s="19">
        <f>SUM(F314:K314)</f>
        <v>350.99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>
        <f>3750+14190+2976</f>
        <v>20916</v>
      </c>
      <c r="I320" s="18"/>
      <c r="J320" s="18"/>
      <c r="K320" s="18">
        <f>271.91+0.8</f>
        <v>272.71000000000004</v>
      </c>
      <c r="L320" s="19">
        <f t="shared" si="16"/>
        <v>21188.71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>
        <v>4540</v>
      </c>
      <c r="I324" s="18"/>
      <c r="J324" s="18"/>
      <c r="K324" s="18"/>
      <c r="L324" s="19">
        <f t="shared" si="16"/>
        <v>4540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25806.99</v>
      </c>
      <c r="I328" s="42">
        <f t="shared" si="17"/>
        <v>0</v>
      </c>
      <c r="J328" s="42">
        <f t="shared" si="17"/>
        <v>0</v>
      </c>
      <c r="K328" s="42">
        <f t="shared" si="17"/>
        <v>272.71000000000004</v>
      </c>
      <c r="L328" s="41">
        <f t="shared" si="17"/>
        <v>26079.7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f>30953.5+31389.12</f>
        <v>62342.619999999995</v>
      </c>
      <c r="G333" s="18">
        <f>2367.92+2411.21+768.5</f>
        <v>5547.63</v>
      </c>
      <c r="H333" s="18">
        <f>482.5+1000+823.52+29.94+240+2297.88+43.19+72.26+502.6</f>
        <v>5491.89</v>
      </c>
      <c r="I333" s="18">
        <f>3704.86+677.52+582.29+44.37</f>
        <v>5009.04</v>
      </c>
      <c r="J333" s="18"/>
      <c r="K333" s="18">
        <f>65+119.48+1005.83+16.82</f>
        <v>1207.1299999999999</v>
      </c>
      <c r="L333" s="19">
        <f t="shared" si="18"/>
        <v>79598.31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62342.619999999995</v>
      </c>
      <c r="G337" s="41">
        <f t="shared" si="19"/>
        <v>5547.63</v>
      </c>
      <c r="H337" s="41">
        <f t="shared" si="19"/>
        <v>5491.89</v>
      </c>
      <c r="I337" s="41">
        <f t="shared" si="19"/>
        <v>5009.04</v>
      </c>
      <c r="J337" s="41">
        <f t="shared" si="19"/>
        <v>0</v>
      </c>
      <c r="K337" s="41">
        <f t="shared" si="19"/>
        <v>1207.1299999999999</v>
      </c>
      <c r="L337" s="41">
        <f t="shared" si="18"/>
        <v>79598.31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1380978.8600000003</v>
      </c>
      <c r="G338" s="41">
        <f t="shared" si="20"/>
        <v>361017.39</v>
      </c>
      <c r="H338" s="41">
        <f t="shared" si="20"/>
        <v>672051.82</v>
      </c>
      <c r="I338" s="41">
        <f t="shared" si="20"/>
        <v>33951.17</v>
      </c>
      <c r="J338" s="41">
        <f t="shared" si="20"/>
        <v>111682.76000000001</v>
      </c>
      <c r="K338" s="41">
        <f t="shared" si="20"/>
        <v>37856.86</v>
      </c>
      <c r="L338" s="41">
        <f t="shared" si="20"/>
        <v>2597538.8600000003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1380978.8600000003</v>
      </c>
      <c r="G352" s="41">
        <f>G338</f>
        <v>361017.39</v>
      </c>
      <c r="H352" s="41">
        <f>H338</f>
        <v>672051.82</v>
      </c>
      <c r="I352" s="41">
        <f>I338</f>
        <v>33951.17</v>
      </c>
      <c r="J352" s="41">
        <f>J338</f>
        <v>111682.76000000001</v>
      </c>
      <c r="K352" s="47">
        <f>K338+K351</f>
        <v>37856.86</v>
      </c>
      <c r="L352" s="41">
        <f>L338+L351</f>
        <v>2597538.8600000003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289035.57</v>
      </c>
      <c r="G358" s="18">
        <f>109383.05+36847.02</f>
        <v>146230.07</v>
      </c>
      <c r="H358" s="18">
        <f>3241.35+3249.75+1893.42+1745.5+5721.64+2253.25+189+207.59+4816.15</f>
        <v>23317.65</v>
      </c>
      <c r="I358" s="18">
        <f>4137.29+5585.8+3397.23+6804.72+8258.48+2079.93+50577.93+46470.19+49777.6+19834.54+41948.76+42828.71+80254.47+8945.99</f>
        <v>370901.64</v>
      </c>
      <c r="J358" s="18"/>
      <c r="K358" s="18">
        <v>664.65</v>
      </c>
      <c r="L358" s="13">
        <f>SUM(F358:K358)</f>
        <v>830149.58000000007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169751.05</v>
      </c>
      <c r="G359" s="18">
        <f>64240.84+21640.31</f>
        <v>85881.15</v>
      </c>
      <c r="H359" s="18">
        <f>1903.65+21144.81+8510.29+111+121.92+2828.54</f>
        <v>34620.21</v>
      </c>
      <c r="I359" s="18">
        <f>6836.22+7261.57+1221.54+29704.5+81499.49+107758.36+5254</f>
        <v>239535.68</v>
      </c>
      <c r="J359" s="18"/>
      <c r="K359" s="18">
        <v>390.35</v>
      </c>
      <c r="L359" s="19">
        <f>SUM(F359:K359)</f>
        <v>530178.43999999994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458786.62</v>
      </c>
      <c r="G362" s="47">
        <f t="shared" si="22"/>
        <v>232111.22</v>
      </c>
      <c r="H362" s="47">
        <f t="shared" si="22"/>
        <v>57937.86</v>
      </c>
      <c r="I362" s="47">
        <f t="shared" si="22"/>
        <v>610437.32000000007</v>
      </c>
      <c r="J362" s="47">
        <f t="shared" si="22"/>
        <v>0</v>
      </c>
      <c r="K362" s="47">
        <f t="shared" si="22"/>
        <v>1055</v>
      </c>
      <c r="L362" s="47">
        <f t="shared" si="22"/>
        <v>1360328.02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50577.93+46470.19+49777.6+19834.54+41948.76+42828.71+80254.47</f>
        <v>331692.2</v>
      </c>
      <c r="G367" s="18">
        <f>29704.5+81499.49+107758.36</f>
        <v>218962.35</v>
      </c>
      <c r="H367" s="18"/>
      <c r="I367" s="56">
        <f>SUM(F367:H367)</f>
        <v>550654.55000000005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370901.64-331692.2</f>
        <v>39209.440000000002</v>
      </c>
      <c r="G368" s="63">
        <f>239535.68-218962.35</f>
        <v>20573.329999999987</v>
      </c>
      <c r="H368" s="63"/>
      <c r="I368" s="56">
        <f>SUM(F368:H368)</f>
        <v>59782.76999999999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370901.64</v>
      </c>
      <c r="G369" s="47">
        <f>SUM(G367:G368)</f>
        <v>239535.68</v>
      </c>
      <c r="H369" s="47">
        <f>SUM(H367:H368)</f>
        <v>0</v>
      </c>
      <c r="I369" s="47">
        <f>SUM(I367:I368)</f>
        <v>610437.32000000007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>
        <v>313.06</v>
      </c>
      <c r="I392" s="18"/>
      <c r="J392" s="24" t="s">
        <v>289</v>
      </c>
      <c r="K392" s="24" t="s">
        <v>289</v>
      </c>
      <c r="L392" s="56">
        <f t="shared" si="25"/>
        <v>313.06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313.06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313.06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313.06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313.06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183126.76</v>
      </c>
      <c r="G442" s="18"/>
      <c r="H442" s="18"/>
      <c r="I442" s="56">
        <f t="shared" si="33"/>
        <v>183126.76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183126.76</v>
      </c>
      <c r="G446" s="13">
        <f>SUM(G439:G445)</f>
        <v>0</v>
      </c>
      <c r="H446" s="13">
        <f>SUM(H439:H445)</f>
        <v>0</v>
      </c>
      <c r="I446" s="13">
        <f>SUM(I439:I445)</f>
        <v>183126.76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183126.76</v>
      </c>
      <c r="G459" s="18"/>
      <c r="H459" s="18"/>
      <c r="I459" s="56">
        <f t="shared" si="34"/>
        <v>183126.76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183126.76</v>
      </c>
      <c r="G460" s="83">
        <f>SUM(G454:G459)</f>
        <v>0</v>
      </c>
      <c r="H460" s="83">
        <f>SUM(H454:H459)</f>
        <v>0</v>
      </c>
      <c r="I460" s="83">
        <f>SUM(I454:I459)</f>
        <v>183126.76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183126.76</v>
      </c>
      <c r="G461" s="42">
        <f>G452+G460</f>
        <v>0</v>
      </c>
      <c r="H461" s="42">
        <f>H452+H460</f>
        <v>0</v>
      </c>
      <c r="I461" s="42">
        <f>I452+I460</f>
        <v>183126.76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4834676.93</v>
      </c>
      <c r="G465" s="18">
        <v>311105.65999999997</v>
      </c>
      <c r="H465" s="18">
        <v>8441.91</v>
      </c>
      <c r="I465" s="18"/>
      <c r="J465" s="18">
        <v>182813.7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74941146.579999998</v>
      </c>
      <c r="G468" s="18">
        <v>1352791.87</v>
      </c>
      <c r="H468" s="18">
        <v>2597571.46</v>
      </c>
      <c r="I468" s="18"/>
      <c r="J468" s="18">
        <v>313.06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74941146.579999998</v>
      </c>
      <c r="G470" s="53">
        <f>SUM(G468:G469)</f>
        <v>1352791.87</v>
      </c>
      <c r="H470" s="53">
        <f>SUM(H468:H469)</f>
        <v>2597571.46</v>
      </c>
      <c r="I470" s="53">
        <f>SUM(I468:I469)</f>
        <v>0</v>
      </c>
      <c r="J470" s="53">
        <f>SUM(J468:J469)</f>
        <v>313.06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76395476.6+146282-243635.45</f>
        <v>76298123.149999991</v>
      </c>
      <c r="G472" s="18">
        <v>1360328.02</v>
      </c>
      <c r="H472" s="18">
        <f>2520524.03+77014.83</f>
        <v>2597538.86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76298123.149999991</v>
      </c>
      <c r="G474" s="53">
        <f>SUM(G472:G473)</f>
        <v>1360328.02</v>
      </c>
      <c r="H474" s="53">
        <f>SUM(H472:H473)</f>
        <v>2597538.86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3477700.3599999994</v>
      </c>
      <c r="G476" s="53">
        <f>(G465+G470)- G474</f>
        <v>303569.51</v>
      </c>
      <c r="H476" s="53">
        <f>(H465+H470)- H474</f>
        <v>8474.5100000002421</v>
      </c>
      <c r="I476" s="53">
        <f>(I465+I470)- I474</f>
        <v>0</v>
      </c>
      <c r="J476" s="53">
        <f>(J465+J470)- J474</f>
        <v>183126.76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>
        <v>10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 t="s">
        <v>914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 t="s">
        <v>915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23959000</v>
      </c>
      <c r="G493" s="18">
        <v>2355000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3.75</v>
      </c>
      <c r="G494" s="18">
        <v>2.2200000000000002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12000000</v>
      </c>
      <c r="G495" s="18">
        <v>1610000</v>
      </c>
      <c r="H495" s="18"/>
      <c r="I495" s="18"/>
      <c r="J495" s="18"/>
      <c r="K495" s="53">
        <f>SUM(F495:J495)</f>
        <v>13610000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1200000</v>
      </c>
      <c r="G497" s="18">
        <v>285000</v>
      </c>
      <c r="H497" s="18"/>
      <c r="I497" s="18"/>
      <c r="J497" s="18"/>
      <c r="K497" s="53">
        <f t="shared" si="35"/>
        <v>1485000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10800000</v>
      </c>
      <c r="G498" s="204">
        <f>1610000-285000</f>
        <v>1325000</v>
      </c>
      <c r="H498" s="204"/>
      <c r="I498" s="204"/>
      <c r="J498" s="204"/>
      <c r="K498" s="205">
        <f t="shared" si="35"/>
        <v>12125000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2470500-460500</f>
        <v>2010000</v>
      </c>
      <c r="G499" s="18">
        <f>159659.38-45384.38</f>
        <v>114275</v>
      </c>
      <c r="H499" s="18"/>
      <c r="I499" s="18"/>
      <c r="J499" s="18"/>
      <c r="K499" s="53">
        <f t="shared" si="35"/>
        <v>2124275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12810000</v>
      </c>
      <c r="G500" s="42">
        <f>SUM(G498:G499)</f>
        <v>1439275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14249275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1200000</v>
      </c>
      <c r="G501" s="204">
        <v>275000</v>
      </c>
      <c r="H501" s="204"/>
      <c r="I501" s="204"/>
      <c r="J501" s="204"/>
      <c r="K501" s="205">
        <f t="shared" si="35"/>
        <v>1475000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415500</v>
      </c>
      <c r="G502" s="18">
        <v>38562.5</v>
      </c>
      <c r="H502" s="18"/>
      <c r="I502" s="18"/>
      <c r="J502" s="18"/>
      <c r="K502" s="53">
        <f t="shared" si="35"/>
        <v>454062.5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1615500</v>
      </c>
      <c r="G503" s="42">
        <f>SUM(G501:G502)</f>
        <v>313562.5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1929062.5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1579337.51</v>
      </c>
      <c r="G507" s="144">
        <v>127723.96</v>
      </c>
      <c r="H507" s="144">
        <v>2224.92</v>
      </c>
      <c r="I507" s="144">
        <v>1704836.55</v>
      </c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3683813.2+409207.97-38899.65</f>
        <v>4054121.52</v>
      </c>
      <c r="G521" s="18">
        <f>1654301.54+122506.06-2975.82-6095.58</f>
        <v>1767736.2</v>
      </c>
      <c r="H521" s="18">
        <f>586072.18+160074.59</f>
        <v>746146.77</v>
      </c>
      <c r="I521" s="18">
        <f>12952.48+4033.32</f>
        <v>16985.8</v>
      </c>
      <c r="J521" s="18">
        <f>13905.45+577.08</f>
        <v>14482.53</v>
      </c>
      <c r="K521" s="18">
        <f>2463.38+20486.59</f>
        <v>22949.97</v>
      </c>
      <c r="L521" s="88">
        <f>SUM(F521:K521)</f>
        <v>6622422.79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1804265.28-37240.05</f>
        <v>1767025.23</v>
      </c>
      <c r="G522" s="18">
        <f>857469.13+70696.76</f>
        <v>928165.89</v>
      </c>
      <c r="H522" s="18">
        <f>413955.7+93131.11</f>
        <v>507086.81</v>
      </c>
      <c r="I522" s="18">
        <f>3765.01+2368.77</f>
        <v>6133.7800000000007</v>
      </c>
      <c r="J522" s="18">
        <f>9270.3+338.92</f>
        <v>9609.2199999999993</v>
      </c>
      <c r="K522" s="18">
        <f>1642.24+804.5</f>
        <v>2446.7399999999998</v>
      </c>
      <c r="L522" s="88">
        <f>SUM(F522:K522)</f>
        <v>3220467.6700000004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f>5209678.87+350.99</f>
        <v>5210029.8600000003</v>
      </c>
      <c r="I523" s="18"/>
      <c r="J523" s="18"/>
      <c r="K523" s="18"/>
      <c r="L523" s="88">
        <f>SUM(F523:K523)</f>
        <v>5210029.8600000003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5821146.75</v>
      </c>
      <c r="G524" s="108">
        <f t="shared" ref="G524:L524" si="36">SUM(G521:G523)</f>
        <v>2695902.09</v>
      </c>
      <c r="H524" s="108">
        <f t="shared" si="36"/>
        <v>6463263.4400000004</v>
      </c>
      <c r="I524" s="108">
        <f t="shared" si="36"/>
        <v>23119.58</v>
      </c>
      <c r="J524" s="108">
        <f t="shared" si="36"/>
        <v>24091.75</v>
      </c>
      <c r="K524" s="108">
        <f t="shared" si="36"/>
        <v>25396.71</v>
      </c>
      <c r="L524" s="89">
        <f t="shared" si="36"/>
        <v>15052920.32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741435.87+92094.17-27296.4</f>
        <v>806233.64</v>
      </c>
      <c r="G526" s="18">
        <f>344808.01+7918.13-2848.86-5835.52-3049.01-2088.18</f>
        <v>338904.57</v>
      </c>
      <c r="H526" s="18">
        <f>7682.5+370784.75+518175.86+839.16+40911.02+190351.13</f>
        <v>1128744.42</v>
      </c>
      <c r="I526" s="18">
        <f>8375.18+785.2+3167.62</f>
        <v>12328</v>
      </c>
      <c r="J526" s="18">
        <v>25829.81</v>
      </c>
      <c r="K526" s="18">
        <v>5367.31</v>
      </c>
      <c r="L526" s="88">
        <f>SUM(F526:K526)</f>
        <v>2317407.75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435446.46</v>
      </c>
      <c r="G527" s="18">
        <v>202506.29</v>
      </c>
      <c r="H527" s="18">
        <f>92943.05+492.84+24027.11+95710.01</f>
        <v>213173.01</v>
      </c>
      <c r="I527" s="18">
        <f>4918.75+461.15+486.14</f>
        <v>5866.04</v>
      </c>
      <c r="J527" s="18">
        <v>15169.89</v>
      </c>
      <c r="K527" s="18">
        <v>251.97</v>
      </c>
      <c r="L527" s="88">
        <f>SUM(F527:K527)</f>
        <v>872413.66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f>9271.65+64883.87</f>
        <v>74155.520000000004</v>
      </c>
      <c r="I528" s="18"/>
      <c r="J528" s="18"/>
      <c r="K528" s="18"/>
      <c r="L528" s="88">
        <f>SUM(F528:K528)</f>
        <v>74155.520000000004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1241680.1000000001</v>
      </c>
      <c r="G529" s="89">
        <f t="shared" ref="G529:L529" si="37">SUM(G526:G528)</f>
        <v>541410.86</v>
      </c>
      <c r="H529" s="89">
        <f t="shared" si="37"/>
        <v>1416072.95</v>
      </c>
      <c r="I529" s="89">
        <f t="shared" si="37"/>
        <v>18194.04</v>
      </c>
      <c r="J529" s="89">
        <f t="shared" si="37"/>
        <v>40999.699999999997</v>
      </c>
      <c r="K529" s="89">
        <f t="shared" si="37"/>
        <v>5619.2800000000007</v>
      </c>
      <c r="L529" s="89">
        <f t="shared" si="37"/>
        <v>3263976.93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320219.71000000002</v>
      </c>
      <c r="G531" s="18">
        <v>156907.66</v>
      </c>
      <c r="H531" s="18">
        <v>5173.8</v>
      </c>
      <c r="I531" s="18"/>
      <c r="J531" s="18"/>
      <c r="K531" s="18"/>
      <c r="L531" s="88">
        <f>SUM(F531:K531)</f>
        <v>482301.17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188065.55</v>
      </c>
      <c r="G532" s="18">
        <v>92152.12</v>
      </c>
      <c r="H532" s="18">
        <v>3038.58</v>
      </c>
      <c r="I532" s="18"/>
      <c r="J532" s="18"/>
      <c r="K532" s="18"/>
      <c r="L532" s="88">
        <f>SUM(F532:K532)</f>
        <v>283256.25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61220</v>
      </c>
      <c r="G533" s="18">
        <f>35000+4683.33+8980.97</f>
        <v>48664.3</v>
      </c>
      <c r="H533" s="18"/>
      <c r="I533" s="18"/>
      <c r="J533" s="18"/>
      <c r="K533" s="18"/>
      <c r="L533" s="88">
        <f>SUM(F533:K533)</f>
        <v>109884.3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569505.26</v>
      </c>
      <c r="G534" s="89">
        <f t="shared" ref="G534:L534" si="38">SUM(G531:G533)</f>
        <v>297724.08</v>
      </c>
      <c r="H534" s="89">
        <f t="shared" si="38"/>
        <v>8212.380000000001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875441.72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26805.52</v>
      </c>
      <c r="I536" s="18"/>
      <c r="J536" s="18"/>
      <c r="K536" s="18"/>
      <c r="L536" s="88">
        <f>SUM(F536:K536)</f>
        <v>26805.52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16083.31</v>
      </c>
      <c r="I537" s="18"/>
      <c r="J537" s="18"/>
      <c r="K537" s="18"/>
      <c r="L537" s="88">
        <f>SUM(F537:K537)</f>
        <v>16083.31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24124.98</v>
      </c>
      <c r="I538" s="18"/>
      <c r="J538" s="18"/>
      <c r="K538" s="18"/>
      <c r="L538" s="88">
        <f>SUM(F538:K538)</f>
        <v>24124.98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67013.81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67013.81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f>1144077.36-701903.65-3201.24</f>
        <v>438972.47000000009</v>
      </c>
      <c r="I541" s="18"/>
      <c r="J541" s="18"/>
      <c r="K541" s="18"/>
      <c r="L541" s="88">
        <f>SUM(F541:K541)</f>
        <v>438972.47000000009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237281</v>
      </c>
      <c r="I542" s="18"/>
      <c r="J542" s="18"/>
      <c r="K542" s="18"/>
      <c r="L542" s="88">
        <f>SUM(F542:K542)</f>
        <v>237281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411127.22</v>
      </c>
      <c r="I543" s="18"/>
      <c r="J543" s="18"/>
      <c r="K543" s="18"/>
      <c r="L543" s="88">
        <f>SUM(F543:K543)</f>
        <v>411127.22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1087380.69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1087380.69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7632332.1099999994</v>
      </c>
      <c r="G545" s="89">
        <f t="shared" ref="G545:L545" si="41">G524+G529+G534+G539+G544</f>
        <v>3535037.03</v>
      </c>
      <c r="H545" s="89">
        <f t="shared" si="41"/>
        <v>9041943.2699999996</v>
      </c>
      <c r="I545" s="89">
        <f t="shared" si="41"/>
        <v>41313.620000000003</v>
      </c>
      <c r="J545" s="89">
        <f t="shared" si="41"/>
        <v>65091.45</v>
      </c>
      <c r="K545" s="89">
        <f t="shared" si="41"/>
        <v>31015.989999999998</v>
      </c>
      <c r="L545" s="89">
        <f t="shared" si="41"/>
        <v>20346733.469999999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6622422.79</v>
      </c>
      <c r="G549" s="87">
        <f>L526</f>
        <v>2317407.75</v>
      </c>
      <c r="H549" s="87">
        <f>L531</f>
        <v>482301.17</v>
      </c>
      <c r="I549" s="87">
        <f>L536</f>
        <v>26805.52</v>
      </c>
      <c r="J549" s="87">
        <f>L541</f>
        <v>438972.47000000009</v>
      </c>
      <c r="K549" s="87">
        <f>SUM(F549:J549)</f>
        <v>9887909.6999999993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3220467.6700000004</v>
      </c>
      <c r="G550" s="87">
        <f>L527</f>
        <v>872413.66</v>
      </c>
      <c r="H550" s="87">
        <f>L532</f>
        <v>283256.25</v>
      </c>
      <c r="I550" s="87">
        <f>L537</f>
        <v>16083.31</v>
      </c>
      <c r="J550" s="87">
        <f>L542</f>
        <v>237281</v>
      </c>
      <c r="K550" s="87">
        <f>SUM(F550:J550)</f>
        <v>4629501.8899999997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5210029.8600000003</v>
      </c>
      <c r="G551" s="87">
        <f>L528</f>
        <v>74155.520000000004</v>
      </c>
      <c r="H551" s="87">
        <f>L533</f>
        <v>109884.3</v>
      </c>
      <c r="I551" s="87">
        <f>L538</f>
        <v>24124.98</v>
      </c>
      <c r="J551" s="87">
        <f>L543</f>
        <v>411127.22</v>
      </c>
      <c r="K551" s="87">
        <f>SUM(F551:J551)</f>
        <v>5829321.8799999999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15052920.32</v>
      </c>
      <c r="G552" s="89">
        <f t="shared" si="42"/>
        <v>3263976.93</v>
      </c>
      <c r="H552" s="89">
        <f t="shared" si="42"/>
        <v>875441.72</v>
      </c>
      <c r="I552" s="89">
        <f t="shared" si="42"/>
        <v>67013.81</v>
      </c>
      <c r="J552" s="89">
        <f t="shared" si="42"/>
        <v>1087380.69</v>
      </c>
      <c r="K552" s="89">
        <f t="shared" si="42"/>
        <v>20346733.469999999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127618.53</v>
      </c>
      <c r="G562" s="18">
        <f>22403.26+3414.4+15223.69+9987.84</f>
        <v>51029.19</v>
      </c>
      <c r="H562" s="18"/>
      <c r="I562" s="18">
        <f>638.33+233.7</f>
        <v>872.03</v>
      </c>
      <c r="J562" s="18"/>
      <c r="K562" s="18"/>
      <c r="L562" s="88">
        <f>SUM(F562:K562)</f>
        <v>179519.75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74950.570000000007</v>
      </c>
      <c r="G563" s="18">
        <f>13157.47+2005.28+8940.91+5865.88</f>
        <v>29969.54</v>
      </c>
      <c r="H563" s="18">
        <v>384</v>
      </c>
      <c r="I563" s="18">
        <f>374.9+13725</f>
        <v>14099.9</v>
      </c>
      <c r="J563" s="18"/>
      <c r="K563" s="18"/>
      <c r="L563" s="88">
        <f>SUM(F563:K563)</f>
        <v>119404.01000000001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202569.1</v>
      </c>
      <c r="G565" s="89">
        <f t="shared" si="44"/>
        <v>80998.73000000001</v>
      </c>
      <c r="H565" s="89">
        <f t="shared" si="44"/>
        <v>384</v>
      </c>
      <c r="I565" s="89">
        <f t="shared" si="44"/>
        <v>14971.93</v>
      </c>
      <c r="J565" s="89">
        <f t="shared" si="44"/>
        <v>0</v>
      </c>
      <c r="K565" s="89">
        <f t="shared" si="44"/>
        <v>0</v>
      </c>
      <c r="L565" s="89">
        <f t="shared" si="44"/>
        <v>298923.76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f>363840.65-38899.65</f>
        <v>324941</v>
      </c>
      <c r="G567" s="18">
        <f>70477.47+5017.74+52124.036+26463.05-6095.58-2975.82</f>
        <v>145010.89600000001</v>
      </c>
      <c r="H567" s="18">
        <v>28032</v>
      </c>
      <c r="I567" s="18">
        <f>981.55+1185.17</f>
        <v>2166.7200000000003</v>
      </c>
      <c r="J567" s="18"/>
      <c r="K567" s="18"/>
      <c r="L567" s="88">
        <f>SUM(F567:K567)</f>
        <v>500150.61599999998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>
        <f>297490.05-37240.05</f>
        <v>260250</v>
      </c>
      <c r="G568" s="18">
        <f>61941.81+4473.42+42686.95+21559.06-2848.86-5835.52</f>
        <v>121976.85999999999</v>
      </c>
      <c r="H568" s="18"/>
      <c r="I568" s="18">
        <f>576.47+696.05+64.52</f>
        <v>1337.04</v>
      </c>
      <c r="J568" s="18"/>
      <c r="K568" s="18"/>
      <c r="L568" s="88">
        <f>SUM(F568:K568)</f>
        <v>383563.89999999997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585191</v>
      </c>
      <c r="G570" s="193">
        <f t="shared" ref="G570:L570" si="45">SUM(G567:G569)</f>
        <v>266987.75599999999</v>
      </c>
      <c r="H570" s="193">
        <f t="shared" si="45"/>
        <v>28032</v>
      </c>
      <c r="I570" s="193">
        <f t="shared" si="45"/>
        <v>3503.76</v>
      </c>
      <c r="J570" s="193">
        <f t="shared" si="45"/>
        <v>0</v>
      </c>
      <c r="K570" s="193">
        <f t="shared" si="45"/>
        <v>0</v>
      </c>
      <c r="L570" s="193">
        <f t="shared" si="45"/>
        <v>883714.51599999995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787760.1</v>
      </c>
      <c r="G571" s="89">
        <f t="shared" ref="G571:L571" si="46">G560+G565+G570</f>
        <v>347986.48600000003</v>
      </c>
      <c r="H571" s="89">
        <f t="shared" si="46"/>
        <v>28416</v>
      </c>
      <c r="I571" s="89">
        <f t="shared" si="46"/>
        <v>18475.690000000002</v>
      </c>
      <c r="J571" s="89">
        <f t="shared" si="46"/>
        <v>0</v>
      </c>
      <c r="K571" s="89">
        <f t="shared" si="46"/>
        <v>0</v>
      </c>
      <c r="L571" s="89">
        <f t="shared" si="46"/>
        <v>1182638.2760000001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v>19946998.420000002</v>
      </c>
      <c r="I577" s="87">
        <f t="shared" si="47"/>
        <v>19946998.420000002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v>4486808.96</v>
      </c>
      <c r="I581" s="87">
        <f t="shared" si="47"/>
        <v>4486808.96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585772.18000000005</v>
      </c>
      <c r="G582" s="18">
        <v>413955.7</v>
      </c>
      <c r="H582" s="18">
        <v>722869.91</v>
      </c>
      <c r="I582" s="87">
        <f t="shared" si="47"/>
        <v>1722597.79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35899.65+666004</f>
        <v>701903.65</v>
      </c>
      <c r="I591" s="18">
        <v>420571.2</v>
      </c>
      <c r="J591" s="18">
        <v>618542.4</v>
      </c>
      <c r="K591" s="104">
        <f t="shared" ref="K591:K597" si="48">SUM(H591:J591)</f>
        <v>1741017.25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1144077.36-701903.65-3201.24</f>
        <v>438972.47000000009</v>
      </c>
      <c r="I592" s="18">
        <f>686446.4-420571.2-26714.11-1880.09</f>
        <v>237281.00000000003</v>
      </c>
      <c r="J592" s="18">
        <f>1029669.62-618542.4</f>
        <v>411127.22</v>
      </c>
      <c r="K592" s="104">
        <f t="shared" si="48"/>
        <v>1087380.69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f>11763.08+14951.03</f>
        <v>26714.11</v>
      </c>
      <c r="J594" s="18"/>
      <c r="K594" s="104">
        <f t="shared" si="48"/>
        <v>26714.11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3201.24</v>
      </c>
      <c r="I595" s="18">
        <f>5081.33-3201.24</f>
        <v>1880.0900000000001</v>
      </c>
      <c r="J595" s="18"/>
      <c r="K595" s="104">
        <f t="shared" si="48"/>
        <v>5081.33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1144077.3600000001</v>
      </c>
      <c r="I598" s="108">
        <f>SUM(I591:I597)</f>
        <v>686446.4</v>
      </c>
      <c r="J598" s="108">
        <f>SUM(J591:J597)</f>
        <v>1029669.62</v>
      </c>
      <c r="K598" s="108">
        <f>SUM(K591:K597)</f>
        <v>2860193.38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75105.69+55812.45</f>
        <v>130918.14</v>
      </c>
      <c r="I604" s="18">
        <f>36577.07+75969.57</f>
        <v>112546.64000000001</v>
      </c>
      <c r="J604" s="18">
        <v>0</v>
      </c>
      <c r="K604" s="104">
        <f>SUM(H604:J604)</f>
        <v>243464.78000000003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130918.14</v>
      </c>
      <c r="I605" s="108">
        <f>SUM(I602:I604)</f>
        <v>112546.64000000001</v>
      </c>
      <c r="J605" s="108">
        <f>SUM(J602:J604)</f>
        <v>0</v>
      </c>
      <c r="K605" s="108">
        <f>SUM(K602:K604)</f>
        <v>243464.78000000003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4726481.16</v>
      </c>
      <c r="H617" s="109">
        <f>SUM(F52)</f>
        <v>4726481.16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337100.04</v>
      </c>
      <c r="H618" s="109">
        <f>SUM(G52)</f>
        <v>337100.04000000015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448483.51999999996</v>
      </c>
      <c r="H619" s="109">
        <f>SUM(H52)</f>
        <v>448483.51999999996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183126.76</v>
      </c>
      <c r="H621" s="109">
        <f>SUM(J52)</f>
        <v>183126.76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3477700.3600000003</v>
      </c>
      <c r="H622" s="109">
        <f>F476</f>
        <v>3477700.3599999994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303569.51000000018</v>
      </c>
      <c r="H623" s="109">
        <f>G476</f>
        <v>303569.51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8474.5099999999948</v>
      </c>
      <c r="H624" s="109">
        <f>H476</f>
        <v>8474.5100000002421</v>
      </c>
      <c r="I624" s="121" t="s">
        <v>103</v>
      </c>
      <c r="J624" s="109">
        <f t="shared" si="50"/>
        <v>-2.4738255888223648E-10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183126.76</v>
      </c>
      <c r="H626" s="109">
        <f>J476</f>
        <v>183126.76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74941146.579999998</v>
      </c>
      <c r="H627" s="104">
        <f>SUM(F468)</f>
        <v>74941146.579999998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1352791.8700000003</v>
      </c>
      <c r="H628" s="104">
        <f>SUM(G468)</f>
        <v>1352791.87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2597571.46</v>
      </c>
      <c r="H629" s="104">
        <f>SUM(H468)</f>
        <v>2597571.46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313.06</v>
      </c>
      <c r="H631" s="104">
        <f>SUM(J468)</f>
        <v>313.06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76298123.150000006</v>
      </c>
      <c r="H632" s="104">
        <f>SUM(F472)</f>
        <v>76298123.149999991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2597538.8600000003</v>
      </c>
      <c r="H633" s="104">
        <f>SUM(H472)</f>
        <v>2597538.86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610437.32000000007</v>
      </c>
      <c r="H634" s="104">
        <f>I369</f>
        <v>610437.32000000007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1360328.02</v>
      </c>
      <c r="H635" s="104">
        <f>SUM(G472)</f>
        <v>1360328.02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313.06</v>
      </c>
      <c r="H637" s="164">
        <f>SUM(J468)</f>
        <v>313.06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183126.76</v>
      </c>
      <c r="H639" s="104">
        <f>SUM(F461)</f>
        <v>183126.76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183126.76</v>
      </c>
      <c r="H642" s="104">
        <f>SUM(I461)</f>
        <v>183126.76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313.06</v>
      </c>
      <c r="H644" s="104">
        <f>H408</f>
        <v>313.06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313.06</v>
      </c>
      <c r="H646" s="104">
        <f>L408</f>
        <v>313.06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2860193.38</v>
      </c>
      <c r="H647" s="104">
        <f>L208+L226+L244</f>
        <v>2860193.3800000004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243464.78000000003</v>
      </c>
      <c r="H648" s="104">
        <f>(J257+J338)-(J255+J336)</f>
        <v>243464.78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1144077.3600000001</v>
      </c>
      <c r="H649" s="104">
        <f>H598</f>
        <v>1144077.3600000001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686446.4</v>
      </c>
      <c r="H650" s="104">
        <f>I598</f>
        <v>686446.4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1029669.62</v>
      </c>
      <c r="H651" s="104">
        <f>J598</f>
        <v>1029669.62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32760683.909999996</v>
      </c>
      <c r="G660" s="19">
        <f>(L229+L309+L359)</f>
        <v>18745232.59</v>
      </c>
      <c r="H660" s="19">
        <f>(L247+L328+L360)</f>
        <v>26297525.280000001</v>
      </c>
      <c r="I660" s="19">
        <f>SUM(F660:H660)</f>
        <v>77803441.780000001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697385.41161244537</v>
      </c>
      <c r="G661" s="19">
        <f>(L359/IF(SUM(L358:L360)=0,1,SUM(L358:L360))*(SUM(G97:G110)))</f>
        <v>445388.05838755483</v>
      </c>
      <c r="H661" s="19">
        <f>(L360/IF(SUM(L358:L360)=0,1,SUM(L358:L360))*(SUM(G97:G110)))</f>
        <v>0</v>
      </c>
      <c r="I661" s="19">
        <f>SUM(F661:H661)</f>
        <v>1142773.4700000002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1196302.3600000001</v>
      </c>
      <c r="G662" s="19">
        <f>(L226+L306)-(J226+J306)</f>
        <v>686446.4</v>
      </c>
      <c r="H662" s="19">
        <f>(L244+L325)-(J244+J325)</f>
        <v>1029669.62</v>
      </c>
      <c r="I662" s="19">
        <f>SUM(F662:H662)</f>
        <v>2912418.3800000004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716690.32000000007</v>
      </c>
      <c r="G663" s="199">
        <f>SUM(G575:G587)+SUM(I602:I604)+L612</f>
        <v>526502.34000000008</v>
      </c>
      <c r="H663" s="199">
        <f>SUM(H575:H587)+SUM(J602:J604)+L613</f>
        <v>25156677.290000003</v>
      </c>
      <c r="I663" s="19">
        <f>SUM(F663:H663)</f>
        <v>26399869.950000003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30150305.818387553</v>
      </c>
      <c r="G664" s="19">
        <f>G660-SUM(G661:G663)</f>
        <v>17086895.791612446</v>
      </c>
      <c r="H664" s="19">
        <f>H660-SUM(H661:H663)</f>
        <v>111178.36999999732</v>
      </c>
      <c r="I664" s="19">
        <f>I660-SUM(I661:I663)</f>
        <v>47348379.979999997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2087.81</v>
      </c>
      <c r="G665" s="248">
        <v>1239.27</v>
      </c>
      <c r="H665" s="248"/>
      <c r="I665" s="19">
        <f>SUM(F665:H665)</f>
        <v>3327.08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14441.12</v>
      </c>
      <c r="G667" s="19">
        <f>ROUND(G664/G665,2)</f>
        <v>13787.87</v>
      </c>
      <c r="H667" s="19" t="e">
        <f>ROUND(H664/H665,2)</f>
        <v>#DIV/0!</v>
      </c>
      <c r="I667" s="19">
        <f>ROUND(I664/I665,2)</f>
        <v>14231.21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-111178.37</v>
      </c>
      <c r="I669" s="19">
        <f>SUM(F669:H669)</f>
        <v>-111178.37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14441.12</v>
      </c>
      <c r="G672" s="19">
        <f>ROUND((G664+G669)/(G665+G670),2)</f>
        <v>13787.87</v>
      </c>
      <c r="H672" s="19" t="e">
        <f>ROUND((H664+H669)/(H665+H670),2)</f>
        <v>#DIV/0!</v>
      </c>
      <c r="I672" s="19">
        <f>ROUND((I664+I669)/(I665+I670),2)</f>
        <v>14197.8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20" sqref="C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Derry Cooperative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13412358.810000001</v>
      </c>
      <c r="C9" s="229">
        <f>'DOE25'!G197+'DOE25'!G215+'DOE25'!G233+'DOE25'!G276+'DOE25'!G295+'DOE25'!G314</f>
        <v>7061844.7000000002</v>
      </c>
    </row>
    <row r="10" spans="1:3" x14ac:dyDescent="0.2">
      <c r="A10" t="s">
        <v>779</v>
      </c>
      <c r="B10" s="240">
        <f>12222679.83+353071.13+569239.7</f>
        <v>13144990.66</v>
      </c>
      <c r="C10" s="240">
        <f>6985693.95-17635.1</f>
        <v>6968058.8500000006</v>
      </c>
    </row>
    <row r="11" spans="1:3" x14ac:dyDescent="0.2">
      <c r="A11" t="s">
        <v>780</v>
      </c>
      <c r="B11" s="240">
        <f>16172.8+251195.35</f>
        <v>267368.15000000002</v>
      </c>
      <c r="C11" s="240">
        <f>25259.83+20453.66+48072.36</f>
        <v>93785.85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13412358.810000001</v>
      </c>
      <c r="C13" s="231">
        <f>SUM(C10:C12)</f>
        <v>7061844.7000000002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6129462.79</v>
      </c>
      <c r="C18" s="229">
        <f>'DOE25'!G198+'DOE25'!G216+'DOE25'!G234+'DOE25'!G277+'DOE25'!G296+'DOE25'!G315</f>
        <v>2704973.4899999998</v>
      </c>
    </row>
    <row r="19" spans="1:3" x14ac:dyDescent="0.2">
      <c r="A19" t="s">
        <v>779</v>
      </c>
      <c r="B19" s="240">
        <f>4433621.9-38899.65-37240.05</f>
        <v>4357482.2</v>
      </c>
      <c r="C19" s="240">
        <f>2315173.73-17755.78</f>
        <v>2297417.9500000002</v>
      </c>
    </row>
    <row r="20" spans="1:3" x14ac:dyDescent="0.2">
      <c r="A20" t="s">
        <v>780</v>
      </c>
      <c r="B20" s="240">
        <f>240621.36+1053849.04+477510.19</f>
        <v>1771980.5899999999</v>
      </c>
      <c r="C20" s="240">
        <v>407555.54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6129462.79</v>
      </c>
      <c r="C22" s="231">
        <f>SUM(C19:C21)</f>
        <v>2704973.49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222189.59</v>
      </c>
      <c r="C36" s="235">
        <f>'DOE25'!G200+'DOE25'!G218+'DOE25'!G236+'DOE25'!G279+'DOE25'!G298+'DOE25'!G317</f>
        <v>39844.57</v>
      </c>
    </row>
    <row r="37" spans="1:3" x14ac:dyDescent="0.2">
      <c r="A37" t="s">
        <v>779</v>
      </c>
      <c r="B37" s="240">
        <f>48594.36+23355.7+1555.55</f>
        <v>73505.61</v>
      </c>
      <c r="C37" s="240">
        <v>28470.25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f>148683.98</f>
        <v>148683.98000000001</v>
      </c>
      <c r="C39" s="240">
        <v>11374.32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222189.59000000003</v>
      </c>
      <c r="C40" s="231">
        <f>SUM(C37:C39)</f>
        <v>39844.57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11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Derry Cooperative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54598560.980000004</v>
      </c>
      <c r="D5" s="20">
        <f>SUM('DOE25'!L197:L200)+SUM('DOE25'!L215:L218)+SUM('DOE25'!L233:L236)-F5-G5</f>
        <v>54516242.969999999</v>
      </c>
      <c r="E5" s="243"/>
      <c r="F5" s="255">
        <f>SUM('DOE25'!J197:J200)+SUM('DOE25'!J215:J218)+SUM('DOE25'!J233:J236)</f>
        <v>72832.59</v>
      </c>
      <c r="G5" s="53">
        <f>SUM('DOE25'!K197:K200)+SUM('DOE25'!K215:K218)+SUM('DOE25'!K233:K236)</f>
        <v>9485.42</v>
      </c>
      <c r="H5" s="259"/>
    </row>
    <row r="6" spans="1:9" x14ac:dyDescent="0.2">
      <c r="A6" s="32">
        <v>2100</v>
      </c>
      <c r="B6" t="s">
        <v>801</v>
      </c>
      <c r="C6" s="245">
        <f t="shared" si="0"/>
        <v>5996847.0899999989</v>
      </c>
      <c r="D6" s="20">
        <f>'DOE25'!L202+'DOE25'!L220+'DOE25'!L238-F6-G6</f>
        <v>5996847.0899999989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1388707.75</v>
      </c>
      <c r="D7" s="20">
        <f>'DOE25'!L203+'DOE25'!L221+'DOE25'!L239-F7-G7</f>
        <v>1330515.96</v>
      </c>
      <c r="E7" s="243"/>
      <c r="F7" s="255">
        <f>'DOE25'!J203+'DOE25'!J221+'DOE25'!J239</f>
        <v>57582.789999999994</v>
      </c>
      <c r="G7" s="53">
        <f>'DOE25'!K203+'DOE25'!K221+'DOE25'!K239</f>
        <v>609</v>
      </c>
      <c r="H7" s="259"/>
    </row>
    <row r="8" spans="1:9" x14ac:dyDescent="0.2">
      <c r="A8" s="32">
        <v>2300</v>
      </c>
      <c r="B8" t="s">
        <v>802</v>
      </c>
      <c r="C8" s="245">
        <f t="shared" si="0"/>
        <v>330931.82999999973</v>
      </c>
      <c r="D8" s="243"/>
      <c r="E8" s="20">
        <f>'DOE25'!L204+'DOE25'!L222+'DOE25'!L240-F8-G8-D9-D11</f>
        <v>317419.14999999973</v>
      </c>
      <c r="F8" s="255">
        <f>'DOE25'!J204+'DOE25'!J222+'DOE25'!J240</f>
        <v>0</v>
      </c>
      <c r="G8" s="53">
        <f>'DOE25'!K204+'DOE25'!K222+'DOE25'!K240</f>
        <v>13512.68</v>
      </c>
      <c r="H8" s="259"/>
    </row>
    <row r="9" spans="1:9" x14ac:dyDescent="0.2">
      <c r="A9" s="32">
        <v>2310</v>
      </c>
      <c r="B9" t="s">
        <v>818</v>
      </c>
      <c r="C9" s="245">
        <f t="shared" si="0"/>
        <v>28903.66</v>
      </c>
      <c r="D9" s="244">
        <v>28903.66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30800</v>
      </c>
      <c r="D10" s="243"/>
      <c r="E10" s="244">
        <v>30800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510715.06</v>
      </c>
      <c r="D11" s="244">
        <v>510715.06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3304876.92</v>
      </c>
      <c r="D12" s="20">
        <f>'DOE25'!L205+'DOE25'!L223+'DOE25'!L241-F12-G12</f>
        <v>3290580.78</v>
      </c>
      <c r="E12" s="243"/>
      <c r="F12" s="255">
        <f>'DOE25'!J205+'DOE25'!J223+'DOE25'!J241</f>
        <v>1366.64</v>
      </c>
      <c r="G12" s="53">
        <f>'DOE25'!K205+'DOE25'!K223+'DOE25'!K241</f>
        <v>12929.5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475706.58</v>
      </c>
      <c r="D13" s="243"/>
      <c r="E13" s="20">
        <f>'DOE25'!L206+'DOE25'!L224+'DOE25'!L242-F13-G13</f>
        <v>472220.37</v>
      </c>
      <c r="F13" s="255">
        <f>'DOE25'!J206+'DOE25'!J224+'DOE25'!J242</f>
        <v>0</v>
      </c>
      <c r="G13" s="53">
        <f>'DOE25'!K206+'DOE25'!K224+'DOE25'!K242</f>
        <v>3486.21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4376455.21</v>
      </c>
      <c r="D14" s="20">
        <f>'DOE25'!L207+'DOE25'!L225+'DOE25'!L243-F14-G14</f>
        <v>4376455.21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2860193.3800000004</v>
      </c>
      <c r="D15" s="20">
        <f>'DOE25'!L208+'DOE25'!L226+'DOE25'!L244-F15-G15</f>
        <v>2860193.3800000004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53274.75</v>
      </c>
      <c r="D16" s="243"/>
      <c r="E16" s="20">
        <f>'DOE25'!L209+'DOE25'!L227+'DOE25'!L245-F16-G16</f>
        <v>53274.75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92374.789999999979</v>
      </c>
      <c r="D17" s="20">
        <f>'DOE25'!L251-F17-G17</f>
        <v>92374.789999999979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1990884.37</v>
      </c>
      <c r="D25" s="243"/>
      <c r="E25" s="243"/>
      <c r="F25" s="258"/>
      <c r="G25" s="256"/>
      <c r="H25" s="257">
        <f>'DOE25'!L260+'DOE25'!L261+'DOE25'!L341+'DOE25'!L342</f>
        <v>1990884.37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809673.47</v>
      </c>
      <c r="D29" s="20">
        <f>'DOE25'!L358+'DOE25'!L359+'DOE25'!L360-'DOE25'!I367-F29-G29</f>
        <v>808618.47</v>
      </c>
      <c r="E29" s="243"/>
      <c r="F29" s="255">
        <f>'DOE25'!J358+'DOE25'!J359+'DOE25'!J360</f>
        <v>0</v>
      </c>
      <c r="G29" s="53">
        <f>'DOE25'!K358+'DOE25'!K359+'DOE25'!K360</f>
        <v>1055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2597538.8600000008</v>
      </c>
      <c r="D31" s="20">
        <f>'DOE25'!L290+'DOE25'!L309+'DOE25'!L328+'DOE25'!L333+'DOE25'!L334+'DOE25'!L335-F31-G31</f>
        <v>2447999.2400000007</v>
      </c>
      <c r="E31" s="243"/>
      <c r="F31" s="255">
        <f>'DOE25'!J290+'DOE25'!J309+'DOE25'!J328+'DOE25'!J333+'DOE25'!J334+'DOE25'!J335</f>
        <v>111682.76000000001</v>
      </c>
      <c r="G31" s="53">
        <f>'DOE25'!K290+'DOE25'!K309+'DOE25'!K328+'DOE25'!K333+'DOE25'!K334+'DOE25'!K335</f>
        <v>37856.86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76259446.609999985</v>
      </c>
      <c r="E33" s="246">
        <f>SUM(E5:E31)</f>
        <v>873714.26999999979</v>
      </c>
      <c r="F33" s="246">
        <f>SUM(F5:F31)</f>
        <v>243464.78</v>
      </c>
      <c r="G33" s="246">
        <f>SUM(G5:G31)</f>
        <v>78934.67</v>
      </c>
      <c r="H33" s="246">
        <f>SUM(H5:H31)</f>
        <v>1990884.37</v>
      </c>
    </row>
    <row r="35" spans="2:8" ht="12" thickBot="1" x14ac:dyDescent="0.25">
      <c r="B35" s="253" t="s">
        <v>847</v>
      </c>
      <c r="D35" s="254">
        <f>E33</f>
        <v>873714.26999999979</v>
      </c>
      <c r="E35" s="249"/>
    </row>
    <row r="36" spans="2:8" ht="12" thickTop="1" x14ac:dyDescent="0.2">
      <c r="B36" t="s">
        <v>815</v>
      </c>
      <c r="D36" s="20">
        <f>D33</f>
        <v>76259446.609999985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10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Derry Cooperative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4263972.5</v>
      </c>
      <c r="D8" s="95">
        <f>'DOE25'!G9</f>
        <v>925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211463.82</v>
      </c>
      <c r="D11" s="95">
        <f>'DOE25'!G12</f>
        <v>227610.19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170179.62</v>
      </c>
      <c r="D12" s="95">
        <f>'DOE25'!G13</f>
        <v>38120.81</v>
      </c>
      <c r="E12" s="95">
        <f>'DOE25'!H13</f>
        <v>437171.47</v>
      </c>
      <c r="F12" s="95">
        <f>'DOE25'!I13</f>
        <v>0</v>
      </c>
      <c r="G12" s="95">
        <f>'DOE25'!J13</f>
        <v>183126.76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41792.699999999997</v>
      </c>
      <c r="D13" s="95">
        <f>'DOE25'!G14</f>
        <v>2512.98</v>
      </c>
      <c r="E13" s="95">
        <f>'DOE25'!H14</f>
        <v>11312.05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39072.519999999997</v>
      </c>
      <c r="D15" s="95">
        <f>'DOE25'!G16</f>
        <v>67931.06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4726481.16</v>
      </c>
      <c r="D18" s="41">
        <f>SUM(D8:D17)</f>
        <v>337100.04</v>
      </c>
      <c r="E18" s="41">
        <f>SUM(E8:E17)</f>
        <v>448483.51999999996</v>
      </c>
      <c r="F18" s="41">
        <f>SUM(F8:F17)</f>
        <v>0</v>
      </c>
      <c r="G18" s="41">
        <f>SUM(G8:G17)</f>
        <v>183126.76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439074.00999999995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686896.08</v>
      </c>
      <c r="D23" s="95">
        <f>'DOE25'!G24</f>
        <v>322.8</v>
      </c>
      <c r="E23" s="95">
        <f>'DOE25'!H24</f>
        <v>935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507984.71999999991</v>
      </c>
      <c r="D27" s="95">
        <f>'DOE25'!G28</f>
        <v>3564.1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53900</v>
      </c>
      <c r="D29" s="95">
        <f>'DOE25'!G30</f>
        <v>29643.63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1248780.7999999998</v>
      </c>
      <c r="D31" s="41">
        <f>SUM(D21:D30)</f>
        <v>33530.53</v>
      </c>
      <c r="E31" s="41">
        <f>SUM(E21:E30)</f>
        <v>440009.00999999995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39072.519999999997</v>
      </c>
      <c r="D34" s="95">
        <f>'DOE25'!G35</f>
        <v>67931.06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235638.45000000019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8474.5099999999948</v>
      </c>
      <c r="F47" s="95">
        <f>'DOE25'!I48</f>
        <v>0</v>
      </c>
      <c r="G47" s="95">
        <f>'DOE25'!J48</f>
        <v>183126.76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189992.97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3248634.87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3477700.3600000003</v>
      </c>
      <c r="D50" s="41">
        <f>SUM(D34:D49)</f>
        <v>303569.51000000018</v>
      </c>
      <c r="E50" s="41">
        <f>SUM(E34:E49)</f>
        <v>8474.5099999999948</v>
      </c>
      <c r="F50" s="41">
        <f>SUM(F34:F49)</f>
        <v>0</v>
      </c>
      <c r="G50" s="41">
        <f>SUM(G34:G49)</f>
        <v>183126.76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4726481.16</v>
      </c>
      <c r="D51" s="41">
        <f>D50+D31</f>
        <v>337100.04000000015</v>
      </c>
      <c r="E51" s="41">
        <f>E50+E31</f>
        <v>448483.51999999996</v>
      </c>
      <c r="F51" s="41">
        <f>F50+F31</f>
        <v>0</v>
      </c>
      <c r="G51" s="41">
        <f>G50+G31</f>
        <v>183126.76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40063577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538947.22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1263.76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313.06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1142773.4700000002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1316206.3700000001</v>
      </c>
      <c r="D61" s="95">
        <f>SUM('DOE25'!G98:G110)</f>
        <v>0</v>
      </c>
      <c r="E61" s="95">
        <f>SUM('DOE25'!H98:H110)</f>
        <v>77047.429999999993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1856417.35</v>
      </c>
      <c r="D62" s="130">
        <f>SUM(D57:D61)</f>
        <v>1142773.4700000002</v>
      </c>
      <c r="E62" s="130">
        <f>SUM(E57:E61)</f>
        <v>77047.429999999993</v>
      </c>
      <c r="F62" s="130">
        <f>SUM(F57:F61)</f>
        <v>0</v>
      </c>
      <c r="G62" s="130">
        <f>SUM(G57:G61)</f>
        <v>313.06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41919994.350000001</v>
      </c>
      <c r="D63" s="22">
        <f>D56+D62</f>
        <v>1142773.4700000002</v>
      </c>
      <c r="E63" s="22">
        <f>E56+E62</f>
        <v>77047.429999999993</v>
      </c>
      <c r="F63" s="22">
        <f>F56+F62</f>
        <v>0</v>
      </c>
      <c r="G63" s="22">
        <f>G56+G62</f>
        <v>313.06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25215065.789999999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5985888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31200953.789999999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564659.09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760067.57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20599.82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1324726.6599999999</v>
      </c>
      <c r="D78" s="130">
        <f>SUM(D72:D77)</f>
        <v>20599.82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32525680.449999999</v>
      </c>
      <c r="D81" s="130">
        <f>SUM(D79:D80)+D78+D70</f>
        <v>20599.82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495471.78</v>
      </c>
      <c r="D88" s="95">
        <f>SUM('DOE25'!G153:G161)</f>
        <v>189418.58</v>
      </c>
      <c r="E88" s="95">
        <f>SUM('DOE25'!H153:H161)</f>
        <v>2520524.0299999998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495471.78</v>
      </c>
      <c r="D91" s="131">
        <f>SUM(D85:D90)</f>
        <v>189418.58</v>
      </c>
      <c r="E91" s="131">
        <f>SUM(E85:E90)</f>
        <v>2520524.0299999998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74941146.579999998</v>
      </c>
      <c r="D104" s="86">
        <f>D63+D81+D91+D103</f>
        <v>1352791.8700000003</v>
      </c>
      <c r="E104" s="86">
        <f>E63+E81+E91+E103</f>
        <v>2597571.46</v>
      </c>
      <c r="F104" s="86">
        <f>F63+F81+F91+F103</f>
        <v>0</v>
      </c>
      <c r="G104" s="86">
        <f>G63+G81+G103</f>
        <v>313.06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40006701.899999999</v>
      </c>
      <c r="D109" s="24" t="s">
        <v>289</v>
      </c>
      <c r="E109" s="95">
        <f>('DOE25'!L276)+('DOE25'!L295)+('DOE25'!L314)</f>
        <v>734491.8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14291267.880000003</v>
      </c>
      <c r="D110" s="24" t="s">
        <v>289</v>
      </c>
      <c r="E110" s="95">
        <f>('DOE25'!L277)+('DOE25'!L296)+('DOE25'!L315)</f>
        <v>1116462.3199999998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300591.2</v>
      </c>
      <c r="D112" s="24" t="s">
        <v>289</v>
      </c>
      <c r="E112" s="95">
        <f>+('DOE25'!L279)+('DOE25'!L298)+('DOE25'!L317)</f>
        <v>2193.06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92374.789999999979</v>
      </c>
      <c r="D114" s="24" t="s">
        <v>289</v>
      </c>
      <c r="E114" s="95">
        <f>+ SUM('DOE25'!L333:L335)</f>
        <v>79598.31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54690935.770000003</v>
      </c>
      <c r="D115" s="86">
        <f>SUM(D109:D114)</f>
        <v>0</v>
      </c>
      <c r="E115" s="86">
        <f>SUM(E109:E114)</f>
        <v>1932745.49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5996847.0899999989</v>
      </c>
      <c r="D118" s="24" t="s">
        <v>289</v>
      </c>
      <c r="E118" s="95">
        <f>+('DOE25'!L281)+('DOE25'!L300)+('DOE25'!L319)</f>
        <v>436346.18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1388707.75</v>
      </c>
      <c r="D119" s="24" t="s">
        <v>289</v>
      </c>
      <c r="E119" s="95">
        <f>+('DOE25'!L282)+('DOE25'!L301)+('DOE25'!L320)</f>
        <v>171682.19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870550.54999999981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3304876.92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475706.58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4376455.21</v>
      </c>
      <c r="D123" s="24" t="s">
        <v>289</v>
      </c>
      <c r="E123" s="95">
        <f>+('DOE25'!L286)+('DOE25'!L305)+('DOE25'!L324)</f>
        <v>4540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2860193.3800000004</v>
      </c>
      <c r="D124" s="24" t="s">
        <v>289</v>
      </c>
      <c r="E124" s="95">
        <f>+('DOE25'!L287)+('DOE25'!L306)+('DOE25'!L325)</f>
        <v>52225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53274.75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1360328.02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19326612.229999997</v>
      </c>
      <c r="D128" s="86">
        <f>SUM(D118:D127)</f>
        <v>1360328.02</v>
      </c>
      <c r="E128" s="86">
        <f>SUM(E118:E127)</f>
        <v>664793.37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1485000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505884.37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313.06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-313.06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289690.78000000003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2280575.1500000004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76298123.150000006</v>
      </c>
      <c r="D145" s="86">
        <f>(D115+D128+D144)</f>
        <v>1360328.02</v>
      </c>
      <c r="E145" s="86">
        <f>(E115+E128+E144)</f>
        <v>2597538.86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10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07/03</v>
      </c>
      <c r="C152" s="152" t="str">
        <f>'DOE25'!G491</f>
        <v>01/11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07/23</v>
      </c>
      <c r="C153" s="152" t="str">
        <f>'DOE25'!G492</f>
        <v>07/19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23959000</v>
      </c>
      <c r="C154" s="137">
        <f>'DOE25'!G493</f>
        <v>2355000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3.75</v>
      </c>
      <c r="C155" s="137">
        <f>'DOE25'!G494</f>
        <v>2.2200000000000002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12000000</v>
      </c>
      <c r="C156" s="137">
        <f>'DOE25'!G495</f>
        <v>1610000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13610000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1200000</v>
      </c>
      <c r="C158" s="137">
        <f>'DOE25'!G497</f>
        <v>285000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1485000</v>
      </c>
    </row>
    <row r="159" spans="1:9" x14ac:dyDescent="0.2">
      <c r="A159" s="22" t="s">
        <v>35</v>
      </c>
      <c r="B159" s="137">
        <f>'DOE25'!F498</f>
        <v>10800000</v>
      </c>
      <c r="C159" s="137">
        <f>'DOE25'!G498</f>
        <v>1325000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12125000</v>
      </c>
    </row>
    <row r="160" spans="1:9" x14ac:dyDescent="0.2">
      <c r="A160" s="22" t="s">
        <v>36</v>
      </c>
      <c r="B160" s="137">
        <f>'DOE25'!F499</f>
        <v>2010000</v>
      </c>
      <c r="C160" s="137">
        <f>'DOE25'!G499</f>
        <v>114275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2124275</v>
      </c>
    </row>
    <row r="161" spans="1:7" x14ac:dyDescent="0.2">
      <c r="A161" s="22" t="s">
        <v>37</v>
      </c>
      <c r="B161" s="137">
        <f>'DOE25'!F500</f>
        <v>12810000</v>
      </c>
      <c r="C161" s="137">
        <f>'DOE25'!G500</f>
        <v>1439275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14249275</v>
      </c>
    </row>
    <row r="162" spans="1:7" x14ac:dyDescent="0.2">
      <c r="A162" s="22" t="s">
        <v>38</v>
      </c>
      <c r="B162" s="137">
        <f>'DOE25'!F501</f>
        <v>1200000</v>
      </c>
      <c r="C162" s="137">
        <f>'DOE25'!G501</f>
        <v>275000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1475000</v>
      </c>
    </row>
    <row r="163" spans="1:7" x14ac:dyDescent="0.2">
      <c r="A163" s="22" t="s">
        <v>39</v>
      </c>
      <c r="B163" s="137">
        <f>'DOE25'!F502</f>
        <v>415500</v>
      </c>
      <c r="C163" s="137">
        <f>'DOE25'!G502</f>
        <v>38562.5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454062.5</v>
      </c>
    </row>
    <row r="164" spans="1:7" x14ac:dyDescent="0.2">
      <c r="A164" s="22" t="s">
        <v>246</v>
      </c>
      <c r="B164" s="137">
        <f>'DOE25'!F503</f>
        <v>1615500</v>
      </c>
      <c r="C164" s="137">
        <f>'DOE25'!G503</f>
        <v>313562.5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1929062.5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Derry Cooperative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14441</v>
      </c>
    </row>
    <row r="5" spans="1:4" x14ac:dyDescent="0.2">
      <c r="B5" t="s">
        <v>704</v>
      </c>
      <c r="C5" s="179">
        <f>IF('DOE25'!G665+'DOE25'!G670=0,0,ROUND('DOE25'!G672,0))</f>
        <v>13788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14198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40741194</v>
      </c>
      <c r="D10" s="182">
        <f>ROUND((C10/$C$28)*100,1)</f>
        <v>52.5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15407730</v>
      </c>
      <c r="D11" s="182">
        <f>ROUND((C11/$C$28)*100,1)</f>
        <v>19.8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302784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6433193</v>
      </c>
      <c r="D15" s="182">
        <f t="shared" ref="D15:D27" si="0">ROUND((C15/$C$28)*100,1)</f>
        <v>8.3000000000000007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1560390</v>
      </c>
      <c r="D16" s="182">
        <f t="shared" si="0"/>
        <v>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923825</v>
      </c>
      <c r="D17" s="182">
        <f t="shared" si="0"/>
        <v>1.2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3304877</v>
      </c>
      <c r="D18" s="182">
        <f t="shared" si="0"/>
        <v>4.3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475707</v>
      </c>
      <c r="D19" s="182">
        <f t="shared" si="0"/>
        <v>0.6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4380995</v>
      </c>
      <c r="D20" s="182">
        <f t="shared" si="0"/>
        <v>5.6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2912418</v>
      </c>
      <c r="D21" s="182">
        <f t="shared" si="0"/>
        <v>3.8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171973</v>
      </c>
      <c r="D24" s="182">
        <f t="shared" si="0"/>
        <v>0.2</v>
      </c>
    </row>
    <row r="25" spans="1:4" x14ac:dyDescent="0.2">
      <c r="A25">
        <v>5120</v>
      </c>
      <c r="B25" t="s">
        <v>720</v>
      </c>
      <c r="C25" s="179">
        <f>ROUND('DOE25'!L261+'DOE25'!L342,0)</f>
        <v>505884</v>
      </c>
      <c r="D25" s="182">
        <f t="shared" si="0"/>
        <v>0.7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289690.78000000003</v>
      </c>
      <c r="D26" s="182">
        <f t="shared" si="0"/>
        <v>0.4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217554.5299999998</v>
      </c>
      <c r="D27" s="182">
        <f t="shared" si="0"/>
        <v>0.3</v>
      </c>
    </row>
    <row r="28" spans="1:4" x14ac:dyDescent="0.2">
      <c r="B28" s="187" t="s">
        <v>723</v>
      </c>
      <c r="C28" s="180">
        <f>SUM(C10:C27)</f>
        <v>77628215.310000002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77628215.310000002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1485000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40063577</v>
      </c>
      <c r="D35" s="182">
        <f t="shared" ref="D35:D40" si="1">ROUND((C35/$C$41)*100,1)</f>
        <v>51.5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1933777.8400000036</v>
      </c>
      <c r="D36" s="182">
        <f t="shared" si="1"/>
        <v>2.5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31200954</v>
      </c>
      <c r="D37" s="182">
        <f t="shared" si="1"/>
        <v>40.1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1345326</v>
      </c>
      <c r="D38" s="182">
        <f t="shared" si="1"/>
        <v>1.7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3205414</v>
      </c>
      <c r="D39" s="182">
        <f t="shared" si="1"/>
        <v>4.0999999999999996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77749048.840000004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11" sqref="C11:M11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Derry Cooperative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>
        <v>3</v>
      </c>
      <c r="B4" s="219">
        <v>24</v>
      </c>
      <c r="C4" s="285" t="s">
        <v>911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7</v>
      </c>
      <c r="B5" s="219">
        <v>1</v>
      </c>
      <c r="C5" s="285" t="s">
        <v>916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2015-10-19T15:40:35Z</cp:lastPrinted>
  <dcterms:created xsi:type="dcterms:W3CDTF">1997-12-04T19:04:30Z</dcterms:created>
  <dcterms:modified xsi:type="dcterms:W3CDTF">2015-11-12T18:14:27Z</dcterms:modified>
</cp:coreProperties>
</file>