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95" yWindow="330" windowWidth="14385" windowHeight="478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82" i="1" l="1"/>
  <c r="F445" i="1" l="1"/>
  <c r="H472" i="1"/>
  <c r="H473" i="1"/>
  <c r="J472" i="1" l="1"/>
  <c r="H468" i="1"/>
  <c r="K264" i="1"/>
  <c r="H179" i="1"/>
  <c r="J604" i="1" l="1"/>
  <c r="I604" i="1"/>
  <c r="H604" i="1"/>
  <c r="I319" i="1"/>
  <c r="I300" i="1"/>
  <c r="I281" i="1"/>
  <c r="I202" i="1"/>
  <c r="B10" i="12" l="1"/>
  <c r="F332" i="1"/>
  <c r="C12" i="12"/>
  <c r="C11" i="12"/>
  <c r="C10" i="12"/>
  <c r="C20" i="12"/>
  <c r="C19" i="12"/>
  <c r="C21" i="12"/>
  <c r="G319" i="1"/>
  <c r="G300" i="1"/>
  <c r="G281" i="1"/>
  <c r="F319" i="1"/>
  <c r="F300" i="1"/>
  <c r="F281" i="1"/>
  <c r="I282" i="1"/>
  <c r="H282" i="1"/>
  <c r="G277" i="1"/>
  <c r="K307" i="1"/>
  <c r="H306" i="1"/>
  <c r="I303" i="1"/>
  <c r="H303" i="1"/>
  <c r="G303" i="1"/>
  <c r="F303" i="1"/>
  <c r="I301" i="1"/>
  <c r="H301" i="1"/>
  <c r="G301" i="1"/>
  <c r="F301" i="1"/>
  <c r="H300" i="1"/>
  <c r="J296" i="1"/>
  <c r="I296" i="1"/>
  <c r="H296" i="1"/>
  <c r="G296" i="1"/>
  <c r="F296" i="1"/>
  <c r="I295" i="1"/>
  <c r="G295" i="1"/>
  <c r="F295" i="1"/>
  <c r="K326" i="1"/>
  <c r="H326" i="1"/>
  <c r="H325" i="1"/>
  <c r="I324" i="1"/>
  <c r="H324" i="1"/>
  <c r="I322" i="1"/>
  <c r="H322" i="1"/>
  <c r="G322" i="1"/>
  <c r="F322" i="1"/>
  <c r="H321" i="1"/>
  <c r="K320" i="1"/>
  <c r="I320" i="1"/>
  <c r="H320" i="1"/>
  <c r="G320" i="1"/>
  <c r="F320" i="1"/>
  <c r="K319" i="1"/>
  <c r="H319" i="1"/>
  <c r="K316" i="1"/>
  <c r="J316" i="1"/>
  <c r="I316" i="1"/>
  <c r="H316" i="1"/>
  <c r="J315" i="1"/>
  <c r="I315" i="1"/>
  <c r="H315" i="1"/>
  <c r="G315" i="1"/>
  <c r="F315" i="1"/>
  <c r="G314" i="1"/>
  <c r="F314" i="1"/>
  <c r="G333" i="1"/>
  <c r="F333" i="1"/>
  <c r="I332" i="1"/>
  <c r="H332" i="1"/>
  <c r="G332" i="1"/>
  <c r="J332" i="1"/>
  <c r="B19" i="12" l="1"/>
  <c r="B21" i="12"/>
  <c r="B20" i="12"/>
  <c r="B12" i="12"/>
  <c r="B11" i="12"/>
  <c r="K333" i="1"/>
  <c r="I333" i="1"/>
  <c r="H333" i="1"/>
  <c r="I468" i="1"/>
  <c r="H202" i="1"/>
  <c r="F18" i="1" l="1"/>
  <c r="F472" i="1" l="1"/>
  <c r="F465" i="1" l="1"/>
  <c r="I472" i="1"/>
  <c r="F29" i="1" l="1"/>
  <c r="F14" i="1"/>
  <c r="F9" i="1"/>
  <c r="G14" i="1"/>
  <c r="G40" i="1"/>
  <c r="G13" i="1"/>
  <c r="G468" i="1" l="1"/>
  <c r="G97" i="1"/>
  <c r="G158" i="1"/>
  <c r="G28" i="1"/>
  <c r="G12" i="1"/>
  <c r="H287" i="1"/>
  <c r="G282" i="1"/>
  <c r="F282" i="1"/>
  <c r="H281" i="1"/>
  <c r="J277" i="1"/>
  <c r="I277" i="1"/>
  <c r="H277" i="1"/>
  <c r="F277" i="1"/>
  <c r="G276" i="1"/>
  <c r="F276" i="1" l="1"/>
  <c r="I276" i="1"/>
  <c r="H276" i="1"/>
  <c r="I239" i="1"/>
  <c r="F239" i="1"/>
  <c r="K234" i="1"/>
  <c r="I225" i="1"/>
  <c r="I221" i="1"/>
  <c r="H221" i="1"/>
  <c r="F221" i="1"/>
  <c r="H220" i="1"/>
  <c r="F215" i="1"/>
  <c r="K209" i="1"/>
  <c r="I209" i="1"/>
  <c r="I203" i="1"/>
  <c r="H203" i="1"/>
  <c r="F203" i="1"/>
  <c r="F197" i="1"/>
  <c r="C39" i="12" l="1"/>
  <c r="B39" i="12"/>
  <c r="B37" i="12"/>
  <c r="B30" i="12"/>
  <c r="B28" i="12"/>
  <c r="C28" i="12"/>
  <c r="C30" i="12"/>
  <c r="G526" i="1"/>
  <c r="F526" i="1"/>
  <c r="H528" i="1"/>
  <c r="G528" i="1"/>
  <c r="F528" i="1"/>
  <c r="G527" i="1"/>
  <c r="F527" i="1"/>
  <c r="H527" i="1"/>
  <c r="H526" i="1"/>
  <c r="J376" i="1"/>
  <c r="J207" i="1"/>
  <c r="J235" i="1"/>
  <c r="J233" i="1"/>
  <c r="J197" i="1"/>
  <c r="G611" i="1"/>
  <c r="F611" i="1"/>
  <c r="G613" i="1"/>
  <c r="F613" i="1"/>
  <c r="F495" i="1"/>
  <c r="G110" i="1" l="1"/>
  <c r="F468" i="1"/>
  <c r="F110" i="1"/>
  <c r="F83" i="1"/>
  <c r="J594" i="1" l="1"/>
  <c r="J592" i="1"/>
  <c r="I592" i="1"/>
  <c r="H592" i="1"/>
  <c r="G251" i="1"/>
  <c r="F251" i="1"/>
  <c r="K241" i="1"/>
  <c r="I238" i="1"/>
  <c r="K236" i="1"/>
  <c r="J236" i="1"/>
  <c r="G236" i="1"/>
  <c r="F236" i="1"/>
  <c r="G235" i="1"/>
  <c r="F235" i="1"/>
  <c r="H235" i="1"/>
  <c r="K235" i="1"/>
  <c r="I235" i="1"/>
  <c r="G220" i="1"/>
  <c r="F220" i="1"/>
  <c r="I220" i="1"/>
  <c r="K218" i="1"/>
  <c r="I218" i="1"/>
  <c r="G218" i="1"/>
  <c r="F218" i="1"/>
  <c r="J215" i="1"/>
  <c r="H215" i="1"/>
  <c r="J205" i="1"/>
  <c r="I205" i="1"/>
  <c r="G202" i="1"/>
  <c r="F202" i="1"/>
  <c r="G200" i="1" l="1"/>
  <c r="F200" i="1"/>
  <c r="I197" i="1"/>
  <c r="H197" i="1"/>
  <c r="H110" i="1"/>
  <c r="H101" i="1"/>
  <c r="H159" i="1"/>
  <c r="H157" i="1"/>
  <c r="H156" i="1"/>
  <c r="H155" i="1"/>
  <c r="H154" i="1"/>
  <c r="F64" i="1"/>
  <c r="F63" i="1"/>
  <c r="F6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L226" i="1"/>
  <c r="D15" i="13" s="1"/>
  <c r="C15" i="13" s="1"/>
  <c r="L244" i="1"/>
  <c r="F17" i="13"/>
  <c r="G17" i="13"/>
  <c r="L251" i="1"/>
  <c r="D17" i="13" s="1"/>
  <c r="C17" i="13" s="1"/>
  <c r="F18" i="13"/>
  <c r="G18" i="13"/>
  <c r="L252" i="1"/>
  <c r="F19" i="13"/>
  <c r="G19" i="13"/>
  <c r="L253" i="1"/>
  <c r="F29" i="13"/>
  <c r="G29" i="13"/>
  <c r="L358" i="1"/>
  <c r="L359" i="1"/>
  <c r="D29" i="13" s="1"/>
  <c r="C29" i="13" s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E112" i="2" s="1"/>
  <c r="L300" i="1"/>
  <c r="L301" i="1"/>
  <c r="L302" i="1"/>
  <c r="L303" i="1"/>
  <c r="L304" i="1"/>
  <c r="L305" i="1"/>
  <c r="L306" i="1"/>
  <c r="L307" i="1"/>
  <c r="L314" i="1"/>
  <c r="L315" i="1"/>
  <c r="L316" i="1"/>
  <c r="E111" i="2" s="1"/>
  <c r="L317" i="1"/>
  <c r="L319" i="1"/>
  <c r="L320" i="1"/>
  <c r="L321" i="1"/>
  <c r="L322" i="1"/>
  <c r="L323" i="1"/>
  <c r="L324" i="1"/>
  <c r="E123" i="2" s="1"/>
  <c r="L325" i="1"/>
  <c r="L326" i="1"/>
  <c r="L333" i="1"/>
  <c r="E114" i="2" s="1"/>
  <c r="L334" i="1"/>
  <c r="L335" i="1"/>
  <c r="L260" i="1"/>
  <c r="C32" i="10" s="1"/>
  <c r="L261" i="1"/>
  <c r="C25" i="10" s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D85" i="2" s="1"/>
  <c r="D91" i="2" s="1"/>
  <c r="G162" i="1"/>
  <c r="H147" i="1"/>
  <c r="H162" i="1"/>
  <c r="H169" i="1" s="1"/>
  <c r="I147" i="1"/>
  <c r="I162" i="1"/>
  <c r="L250" i="1"/>
  <c r="L332" i="1"/>
  <c r="E113" i="2" s="1"/>
  <c r="L254" i="1"/>
  <c r="L268" i="1"/>
  <c r="L269" i="1"/>
  <c r="L349" i="1"/>
  <c r="L350" i="1"/>
  <c r="I665" i="1"/>
  <c r="I670" i="1"/>
  <c r="G661" i="1"/>
  <c r="H661" i="1"/>
  <c r="I669" i="1"/>
  <c r="C42" i="10"/>
  <c r="L374" i="1"/>
  <c r="L375" i="1"/>
  <c r="L376" i="1"/>
  <c r="L377" i="1"/>
  <c r="F130" i="2" s="1"/>
  <c r="L378" i="1"/>
  <c r="L379" i="1"/>
  <c r="L380" i="1"/>
  <c r="B2" i="10"/>
  <c r="L344" i="1"/>
  <c r="L345" i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 s="1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D115" i="2"/>
  <c r="F115" i="2"/>
  <c r="G115" i="2"/>
  <c r="E122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H408" i="1" s="1"/>
  <c r="H644" i="1" s="1"/>
  <c r="I393" i="1"/>
  <c r="I408" i="1" s="1"/>
  <c r="F401" i="1"/>
  <c r="G401" i="1"/>
  <c r="H401" i="1"/>
  <c r="I401" i="1"/>
  <c r="F407" i="1"/>
  <c r="G407" i="1"/>
  <c r="H407" i="1"/>
  <c r="I407" i="1"/>
  <c r="F408" i="1"/>
  <c r="L413" i="1"/>
  <c r="L414" i="1"/>
  <c r="L415" i="1"/>
  <c r="L416" i="1"/>
  <c r="L417" i="1"/>
  <c r="L418" i="1"/>
  <c r="L419" i="1" s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I452" i="1"/>
  <c r="F460" i="1"/>
  <c r="G460" i="1"/>
  <c r="H460" i="1"/>
  <c r="G461" i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22" i="1"/>
  <c r="G623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40" i="1"/>
  <c r="H640" i="1"/>
  <c r="G641" i="1"/>
  <c r="H641" i="1"/>
  <c r="G643" i="1"/>
  <c r="H643" i="1"/>
  <c r="G644" i="1"/>
  <c r="G651" i="1"/>
  <c r="G652" i="1"/>
  <c r="H652" i="1"/>
  <c r="G653" i="1"/>
  <c r="H653" i="1"/>
  <c r="G654" i="1"/>
  <c r="H654" i="1"/>
  <c r="H655" i="1"/>
  <c r="F192" i="1"/>
  <c r="C18" i="2"/>
  <c r="C26" i="10"/>
  <c r="C70" i="2"/>
  <c r="D18" i="13"/>
  <c r="C18" i="13" s="1"/>
  <c r="D18" i="2"/>
  <c r="C91" i="2"/>
  <c r="F78" i="2"/>
  <c r="F81" i="2" s="1"/>
  <c r="G157" i="2"/>
  <c r="G156" i="2"/>
  <c r="E31" i="2"/>
  <c r="G62" i="2"/>
  <c r="D19" i="13"/>
  <c r="C19" i="13" s="1"/>
  <c r="E78" i="2"/>
  <c r="E81" i="2" s="1"/>
  <c r="J641" i="1"/>
  <c r="J571" i="1"/>
  <c r="K571" i="1"/>
  <c r="L433" i="1"/>
  <c r="D81" i="2"/>
  <c r="I169" i="1"/>
  <c r="J643" i="1"/>
  <c r="G476" i="1"/>
  <c r="H623" i="1" s="1"/>
  <c r="J140" i="1"/>
  <c r="F571" i="1"/>
  <c r="G22" i="2"/>
  <c r="H140" i="1"/>
  <c r="F22" i="13"/>
  <c r="J640" i="1"/>
  <c r="J634" i="1"/>
  <c r="H571" i="1"/>
  <c r="L560" i="1"/>
  <c r="G192" i="1"/>
  <c r="H192" i="1"/>
  <c r="L570" i="1"/>
  <c r="I571" i="1"/>
  <c r="G36" i="2"/>
  <c r="L565" i="1"/>
  <c r="C22" i="13"/>
  <c r="K545" i="1" l="1"/>
  <c r="F461" i="1"/>
  <c r="H639" i="1" s="1"/>
  <c r="L524" i="1"/>
  <c r="F552" i="1"/>
  <c r="I545" i="1"/>
  <c r="J644" i="1"/>
  <c r="E125" i="2"/>
  <c r="E110" i="2"/>
  <c r="G624" i="1"/>
  <c r="C122" i="2"/>
  <c r="L351" i="1"/>
  <c r="H476" i="1"/>
  <c r="H624" i="1" s="1"/>
  <c r="L401" i="1"/>
  <c r="C139" i="2" s="1"/>
  <c r="J655" i="1"/>
  <c r="G408" i="1"/>
  <c r="H645" i="1" s="1"/>
  <c r="J617" i="1"/>
  <c r="D62" i="2"/>
  <c r="D63" i="2" s="1"/>
  <c r="D50" i="2"/>
  <c r="J623" i="1"/>
  <c r="D31" i="2"/>
  <c r="J476" i="1"/>
  <c r="H626" i="1" s="1"/>
  <c r="C131" i="2"/>
  <c r="H25" i="13"/>
  <c r="C25" i="13" s="1"/>
  <c r="C132" i="2"/>
  <c r="L393" i="1"/>
  <c r="C138" i="2" s="1"/>
  <c r="G645" i="1"/>
  <c r="I460" i="1"/>
  <c r="I461" i="1" s="1"/>
  <c r="H642" i="1" s="1"/>
  <c r="J639" i="1"/>
  <c r="I446" i="1"/>
  <c r="G642" i="1" s="1"/>
  <c r="F18" i="2"/>
  <c r="E124" i="2"/>
  <c r="H662" i="1"/>
  <c r="E120" i="2"/>
  <c r="J338" i="1"/>
  <c r="J352" i="1" s="1"/>
  <c r="G662" i="1"/>
  <c r="E121" i="2"/>
  <c r="E118" i="2"/>
  <c r="L290" i="1"/>
  <c r="E109" i="2"/>
  <c r="F338" i="1"/>
  <c r="F352" i="1" s="1"/>
  <c r="E119" i="2"/>
  <c r="G338" i="1"/>
  <c r="G352" i="1" s="1"/>
  <c r="K338" i="1"/>
  <c r="K352" i="1" s="1"/>
  <c r="C120" i="2"/>
  <c r="A40" i="12"/>
  <c r="A31" i="12"/>
  <c r="A13" i="12"/>
  <c r="K551" i="1"/>
  <c r="H552" i="1"/>
  <c r="K550" i="1"/>
  <c r="G545" i="1"/>
  <c r="G552" i="1"/>
  <c r="L529" i="1"/>
  <c r="H545" i="1"/>
  <c r="L534" i="1"/>
  <c r="I476" i="1"/>
  <c r="H625" i="1" s="1"/>
  <c r="J625" i="1" s="1"/>
  <c r="C29" i="10"/>
  <c r="L382" i="1"/>
  <c r="G636" i="1" s="1"/>
  <c r="J636" i="1" s="1"/>
  <c r="L614" i="1"/>
  <c r="K549" i="1"/>
  <c r="C19" i="10"/>
  <c r="E13" i="13"/>
  <c r="C13" i="13" s="1"/>
  <c r="L328" i="1"/>
  <c r="L309" i="1"/>
  <c r="H338" i="1"/>
  <c r="H352" i="1" s="1"/>
  <c r="F661" i="1"/>
  <c r="I661" i="1" s="1"/>
  <c r="D127" i="2"/>
  <c r="D128" i="2" s="1"/>
  <c r="D145" i="2" s="1"/>
  <c r="K598" i="1"/>
  <c r="G647" i="1" s="1"/>
  <c r="C21" i="10"/>
  <c r="L544" i="1"/>
  <c r="F662" i="1"/>
  <c r="G650" i="1"/>
  <c r="J650" i="1" s="1"/>
  <c r="H647" i="1"/>
  <c r="J647" i="1" s="1"/>
  <c r="C124" i="2"/>
  <c r="J651" i="1"/>
  <c r="J649" i="1"/>
  <c r="J552" i="1"/>
  <c r="C114" i="2"/>
  <c r="C123" i="2"/>
  <c r="C121" i="2"/>
  <c r="L247" i="1"/>
  <c r="K257" i="1"/>
  <c r="K271" i="1" s="1"/>
  <c r="J257" i="1"/>
  <c r="J271" i="1" s="1"/>
  <c r="C12" i="10"/>
  <c r="E16" i="13"/>
  <c r="C16" i="13" s="1"/>
  <c r="C119" i="2"/>
  <c r="C118" i="2"/>
  <c r="I257" i="1"/>
  <c r="I271" i="1" s="1"/>
  <c r="C112" i="2"/>
  <c r="G257" i="1"/>
  <c r="G271" i="1" s="1"/>
  <c r="C110" i="2"/>
  <c r="L229" i="1"/>
  <c r="H257" i="1"/>
  <c r="H271" i="1" s="1"/>
  <c r="F257" i="1"/>
  <c r="F271" i="1" s="1"/>
  <c r="C125" i="2"/>
  <c r="D14" i="13"/>
  <c r="C14" i="13" s="1"/>
  <c r="C20" i="10"/>
  <c r="C18" i="10"/>
  <c r="D12" i="13"/>
  <c r="C12" i="13" s="1"/>
  <c r="E8" i="13"/>
  <c r="C8" i="13" s="1"/>
  <c r="C17" i="10"/>
  <c r="D7" i="13"/>
  <c r="C7" i="13" s="1"/>
  <c r="C16" i="10"/>
  <c r="D6" i="13"/>
  <c r="C6" i="13" s="1"/>
  <c r="C15" i="10"/>
  <c r="C13" i="10"/>
  <c r="L211" i="1"/>
  <c r="C11" i="10"/>
  <c r="D5" i="13"/>
  <c r="C5" i="13" s="1"/>
  <c r="C10" i="10"/>
  <c r="C109" i="2"/>
  <c r="E62" i="2"/>
  <c r="E63" i="2" s="1"/>
  <c r="H112" i="1"/>
  <c r="H193" i="1" s="1"/>
  <c r="G629" i="1" s="1"/>
  <c r="J629" i="1" s="1"/>
  <c r="F169" i="1"/>
  <c r="C81" i="2"/>
  <c r="C62" i="2"/>
  <c r="C63" i="2" s="1"/>
  <c r="C35" i="10"/>
  <c r="F112" i="1"/>
  <c r="K503" i="1"/>
  <c r="K500" i="1"/>
  <c r="H33" i="13"/>
  <c r="F476" i="1"/>
  <c r="H622" i="1" s="1"/>
  <c r="J622" i="1" s="1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L407" i="1"/>
  <c r="C140" i="2" s="1"/>
  <c r="L571" i="1"/>
  <c r="I192" i="1"/>
  <c r="E9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I140" i="1"/>
  <c r="A22" i="12"/>
  <c r="G50" i="2"/>
  <c r="J652" i="1"/>
  <c r="G571" i="1"/>
  <c r="I434" i="1"/>
  <c r="G434" i="1"/>
  <c r="I663" i="1"/>
  <c r="C27" i="10"/>
  <c r="G635" i="1"/>
  <c r="J635" i="1" s="1"/>
  <c r="K552" i="1" l="1"/>
  <c r="E115" i="2"/>
  <c r="I662" i="1"/>
  <c r="J624" i="1"/>
  <c r="J645" i="1"/>
  <c r="D104" i="2"/>
  <c r="D51" i="2"/>
  <c r="C141" i="2"/>
  <c r="C144" i="2" s="1"/>
  <c r="G104" i="2"/>
  <c r="L408" i="1"/>
  <c r="G637" i="1" s="1"/>
  <c r="J637" i="1" s="1"/>
  <c r="J642" i="1"/>
  <c r="G51" i="2"/>
  <c r="E128" i="2"/>
  <c r="L338" i="1"/>
  <c r="L352" i="1" s="1"/>
  <c r="G633" i="1" s="1"/>
  <c r="J633" i="1" s="1"/>
  <c r="G660" i="1"/>
  <c r="G664" i="1" s="1"/>
  <c r="G672" i="1" s="1"/>
  <c r="C5" i="10" s="1"/>
  <c r="H660" i="1"/>
  <c r="H664" i="1" s="1"/>
  <c r="H667" i="1" s="1"/>
  <c r="D31" i="13"/>
  <c r="C31" i="13" s="1"/>
  <c r="L545" i="1"/>
  <c r="I193" i="1"/>
  <c r="G630" i="1" s="1"/>
  <c r="J630" i="1" s="1"/>
  <c r="H648" i="1"/>
  <c r="J648" i="1" s="1"/>
  <c r="E33" i="13"/>
  <c r="D35" i="13" s="1"/>
  <c r="C128" i="2"/>
  <c r="L257" i="1"/>
  <c r="L271" i="1" s="1"/>
  <c r="G632" i="1" s="1"/>
  <c r="J632" i="1" s="1"/>
  <c r="C115" i="2"/>
  <c r="F660" i="1"/>
  <c r="F664" i="1" s="1"/>
  <c r="F672" i="1" s="1"/>
  <c r="C4" i="10" s="1"/>
  <c r="C28" i="10"/>
  <c r="D21" i="10" s="1"/>
  <c r="E104" i="2"/>
  <c r="C36" i="10"/>
  <c r="C104" i="2"/>
  <c r="F193" i="1"/>
  <c r="G627" i="1" s="1"/>
  <c r="J627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E145" i="2" l="1"/>
  <c r="H646" i="1"/>
  <c r="J646" i="1" s="1"/>
  <c r="H672" i="1"/>
  <c r="C6" i="10" s="1"/>
  <c r="G667" i="1"/>
  <c r="D33" i="13"/>
  <c r="D36" i="13" s="1"/>
  <c r="C145" i="2"/>
  <c r="F667" i="1"/>
  <c r="I660" i="1"/>
  <c r="I664" i="1" s="1"/>
  <c r="I672" i="1" s="1"/>
  <c r="C7" i="10" s="1"/>
  <c r="D26" i="10"/>
  <c r="D15" i="10"/>
  <c r="D12" i="10"/>
  <c r="D16" i="10"/>
  <c r="D11" i="10"/>
  <c r="D22" i="10"/>
  <c r="D18" i="10"/>
  <c r="D19" i="10"/>
  <c r="D27" i="10"/>
  <c r="D17" i="10"/>
  <c r="D24" i="10"/>
  <c r="C30" i="10"/>
  <c r="D23" i="10"/>
  <c r="D20" i="10"/>
  <c r="D25" i="10"/>
  <c r="D10" i="10"/>
  <c r="D13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<sst xmlns="http://schemas.openxmlformats.org/spreadsheetml/2006/main" count="3954" uniqueCount="912">
  <si>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</si>
  <si>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</si>
  <si>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</si>
  <si>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</si>
  <si>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</si>
  <si>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</si>
  <si>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</si>
  <si>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</si>
  <si>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</si>
  <si>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</si>
  <si>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</si>
  <si>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</si>
  <si>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</si>
  <si>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</si>
  <si>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</si>
  <si>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</si>
  <si>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</si>
  <si>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</si>
  <si>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</si>
  <si>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</si>
  <si>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</si>
  <si>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</si>
  <si>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</si>
  <si>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</si>
  <si>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</si>
  <si>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</si>
  <si>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</si>
  <si>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</si>
  <si>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</si>
  <si>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</si>
  <si>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</si>
  <si>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</si>
  <si>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</si>
  <si>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</si>
  <si>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</si>
  <si>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</si>
  <si>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</si>
  <si>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</si>
  <si>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</si>
  <si>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</si>
  <si>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</si>
  <si>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</si>
  <si>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</si>
  <si>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</si>
  <si>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</si>
  <si>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</si>
  <si>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</si>
  <si>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</si>
  <si>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</si>
  <si>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</si>
  <si>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</si>
  <si>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</si>
  <si>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</si>
  <si>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</si>
  <si>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</si>
  <si>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</si>
  <si>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</si>
  <si>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</si>
  <si>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</si>
  <si>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</si>
  <si>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</si>
  <si>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</si>
  <si>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</si>
  <si>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</si>
  <si>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</si>
  <si>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</si>
  <si>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</si>
  <si>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</si>
  <si>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</si>
  <si>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</si>
  <si>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</si>
  <si>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</si>
  <si>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</si>
  <si>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</si>
  <si>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</si>
  <si>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</si>
  <si>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</si>
  <si>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</si>
  <si>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</si>
  <si>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</si>
  <si>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</si>
  <si>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</si>
  <si>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</si>
  <si>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</si>
  <si>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</si>
  <si>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</si>
  <si>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</si>
  <si>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</si>
  <si>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</si>
  <si>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</si>
  <si>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</si>
  <si>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</si>
  <si>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</si>
  <si>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</si>
  <si>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</si>
  <si>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</si>
  <si>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</si>
  <si>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</si>
  <si>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</si>
  <si>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</si>
  <si>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</si>
  <si>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</si>
  <si>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</si>
  <si>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</si>
  <si>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</si>
  <si>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</si>
  <si>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</si>
  <si>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</si>
  <si>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</si>
  <si>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</si>
  <si>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</si>
  <si>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</si>
  <si>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</si>
  <si>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</si>
  <si>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</si>
  <si>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</si>
  <si>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</si>
  <si>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</si>
  <si>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</si>
  <si>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</si>
  <si>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</si>
  <si>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</si>
  <si>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</si>
  <si>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</si>
  <si>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</si>
  <si>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</si>
  <si>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</si>
  <si>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</si>
  <si>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</si>
  <si>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</si>
  <si>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</si>
  <si>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</si>
  <si>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</si>
  <si>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</si>
  <si>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</si>
  <si>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</si>
  <si>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</si>
  <si>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</si>
  <si>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</si>
  <si>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</si>
  <si>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</si>
  <si>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</si>
  <si>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</si>
  <si>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</si>
  <si>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</si>
  <si>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</si>
  <si>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</si>
  <si>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</si>
  <si>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</si>
  <si>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</si>
  <si>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</si>
  <si>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</si>
  <si>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</si>
  <si>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</si>
  <si>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</si>
  <si>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</si>
  <si>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</si>
  <si>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</si>
  <si>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</si>
  <si>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</si>
  <si>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</si>
  <si>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</si>
  <si>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</si>
  <si>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</si>
  <si>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</si>
  <si>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</si>
  <si>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</si>
  <si>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</si>
  <si>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</si>
  <si>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</si>
  <si>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</si>
  <si>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</si>
  <si>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</si>
  <si>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</si>
  <si>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</si>
  <si>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</si>
  <si>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</si>
  <si>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</si>
  <si>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</si>
  <si>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</si>
  <si>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</si>
  <si>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</si>
  <si>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</si>
  <si>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</si>
  <si>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</si>
  <si>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</si>
  <si>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</si>
  <si>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</si>
  <si>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</si>
  <si>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</si>
  <si>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</si>
  <si>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</si>
  <si>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</si>
  <si>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</si>
  <si>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</si>
  <si>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</si>
  <si>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</si>
  <si>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</si>
  <si>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</si>
  <si>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</si>
  <si>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</si>
  <si>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</si>
  <si>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</si>
  <si>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</si>
  <si>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</si>
  <si>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</si>
  <si>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</si>
  <si>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</si>
  <si>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</si>
  <si>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</si>
  <si>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</si>
  <si>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</si>
  <si>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</si>
  <si>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</si>
  <si>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</si>
  <si>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</si>
  <si>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</si>
  <si>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</si>
  <si>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</si>
  <si>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</si>
  <si>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</si>
  <si>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</si>
  <si>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</si>
  <si>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</si>
  <si>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</si>
  <si>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</si>
  <si>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</si>
  <si>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</si>
  <si>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</si>
  <si>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</si>
  <si>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</si>
  <si>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</si>
  <si>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</si>
  <si>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</si>
  <si>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</si>
  <si>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</si>
  <si>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</si>
  <si>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</si>
  <si>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</si>
  <si>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</si>
  <si>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</si>
  <si>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</si>
  <si>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</si>
  <si>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</si>
  <si>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</si>
  <si>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</si>
  <si>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</si>
  <si>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</si>
  <si>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</si>
  <si>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</si>
  <si>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</si>
  <si>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</si>
  <si>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</si>
  <si>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</si>
  <si>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</si>
  <si>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</si>
  <si>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</si>
  <si>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</si>
  <si>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</si>
  <si>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</si>
  <si>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</si>
  <si>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</si>
  <si>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</si>
  <si>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</si>
  <si>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</si>
  <si>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</si>
  <si>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</si>
  <si>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</si>
  <si>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</si>
  <si>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</si>
  <si>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</si>
  <si>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</si>
  <si>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</si>
  <si>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</si>
  <si>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</si>
  <si>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</si>
  <si>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</si>
  <si>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</si>
  <si>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</si>
  <si>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</si>
  <si>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</si>
  <si>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</si>
  <si>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</si>
  <si>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</si>
  <si>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</si>
  <si>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</si>
  <si>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</si>
  <si>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</si>
  <si>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</si>
  <si>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</si>
  <si>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</si>
  <si>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</si>
  <si>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</si>
  <si>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</si>
  <si>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</si>
  <si>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</si>
  <si>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</si>
  <si>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</si>
  <si>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</si>
  <si>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</si>
  <si>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</si>
  <si>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</si>
  <si>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</si>
  <si>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</si>
  <si>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</si>
  <si>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</si>
  <si>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</si>
  <si>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</si>
  <si>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</si>
  <si>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</si>
  <si>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</si>
  <si>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</si>
  <si>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</si>
  <si>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</si>
  <si>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</si>
  <si>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</si>
  <si>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</si>
  <si>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</si>
  <si>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</si>
  <si>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</si>
  <si>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</si>
  <si>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</si>
  <si>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</si>
  <si>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</si>
  <si>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</si>
  <si>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</si>
  <si>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</si>
  <si>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</si>
  <si>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</si>
  <si>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</si>
  <si>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</si>
  <si>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</si>
  <si>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</si>
  <si>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</si>
  <si>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</si>
  <si>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</si>
  <si>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</si>
  <si>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</si>
  <si>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</si>
  <si>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</si>
  <si>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</si>
  <si>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</si>
  <si>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</si>
  <si>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</si>
  <si>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</si>
  <si>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</si>
  <si>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</si>
  <si>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</si>
  <si>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</si>
  <si>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</si>
  <si>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</si>
  <si>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</si>
  <si>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</si>
  <si>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</si>
  <si>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</si>
  <si>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</si>
  <si>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</si>
  <si>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</si>
  <si>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</si>
  <si>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</si>
  <si>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</si>
  <si>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</si>
  <si>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</si>
  <si>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</si>
  <si>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</si>
  <si>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</si>
  <si>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</si>
  <si>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</si>
  <si>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</si>
  <si>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</si>
  <si>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</si>
  <si>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</si>
  <si>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</si>
  <si>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</si>
  <si>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</si>
  <si>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</si>
  <si>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</si>
  <si>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</si>
  <si>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</si>
  <si>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</si>
  <si>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</si>
  <si>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</si>
  <si>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</si>
  <si>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</si>
  <si>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</si>
  <si>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</si>
  <si>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</si>
  <si>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</si>
  <si>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</si>
  <si>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</si>
  <si>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</si>
  <si>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</si>
  <si>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</si>
  <si>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</si>
  <si>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</si>
  <si>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</si>
  <si>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</si>
  <si>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</si>
  <si>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</si>
  <si>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</si>
  <si>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</si>
  <si>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</si>
  <si>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</si>
  <si>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</si>
  <si>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</si>
  <si>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</si>
  <si>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</si>
  <si>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</si>
  <si>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</si>
  <si>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</si>
  <si>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</si>
  <si>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</si>
  <si>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</si>
  <si>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</si>
  <si>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</si>
  <si>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</si>
  <si>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</si>
  <si>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</si>
  <si>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</si>
  <si>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</si>
  <si>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</si>
  <si>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</si>
  <si>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</si>
  <si>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</si>
  <si>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</si>
  <si>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</si>
  <si>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</si>
  <si>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</si>
  <si>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</si>
  <si>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</si>
  <si>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</si>
  <si>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</si>
  <si>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</si>
  <si>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</si>
  <si>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</si>
  <si>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</si>
  <si>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</si>
  <si>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</si>
  <si>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</si>
  <si>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</si>
  <si>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</si>
  <si>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</si>
  <si>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</si>
  <si>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</si>
  <si>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</si>
  <si>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</si>
  <si>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</si>
  <si>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</si>
  <si>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</si>
  <si>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</si>
  <si>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</si>
  <si>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</si>
  <si>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</si>
  <si>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</si>
  <si>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</si>
  <si>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</si>
  <si>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</si>
  <si>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</si>
  <si>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</si>
  <si>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</si>
  <si>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</si>
  <si>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</si>
  <si>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</si>
  <si>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</si>
  <si>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</si>
  <si>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</si>
  <si>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</si>
  <si>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</si>
  <si>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</si>
  <si>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</si>
  <si>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</si>
  <si>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</si>
  <si>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</si>
  <si>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</si>
  <si>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</si>
  <si>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</si>
  <si>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</si>
  <si>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</si>
  <si>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</si>
  <si>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</si>
  <si>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</si>
  <si>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</si>
  <si>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</si>
  <si>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</si>
  <si>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</si>
  <si>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</si>
  <si>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</si>
  <si>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</si>
  <si>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</si>
  <si>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</si>
  <si>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</si>
  <si>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</si>
  <si>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</si>
  <si>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</si>
  <si>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</si>
  <si>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</si>
  <si>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</si>
  <si>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</si>
  <si>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</si>
  <si>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</si>
  <si>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</si>
  <si>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</si>
  <si>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</si>
  <si>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</si>
  <si>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</si>
  <si>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</si>
  <si>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</si>
  <si>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</si>
  <si>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</si>
  <si>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</si>
  <si>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</si>
  <si>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</si>
  <si>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</si>
  <si>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</si>
  <si>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</si>
  <si>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</si>
  <si>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</si>
  <si>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</si>
  <si>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</si>
  <si>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</si>
  <si>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</si>
  <si>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</si>
  <si>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</si>
  <si>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</si>
  <si>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</si>
  <si>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</si>
  <si>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</si>
  <si>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</si>
  <si>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</si>
  <si>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</si>
  <si>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</si>
  <si>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</si>
  <si>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</si>
  <si>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</si>
  <si>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</si>
  <si>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</si>
  <si>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</si>
  <si>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</si>
  <si>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</si>
  <si>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</si>
  <si>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</si>
  <si>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</si>
  <si>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</si>
  <si>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</si>
  <si>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</si>
  <si>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</si>
  <si>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</si>
  <si>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</si>
  <si>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</si>
  <si>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</si>
  <si>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</si>
  <si>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</si>
  <si>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</si>
  <si>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</si>
  <si>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</si>
  <si>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</si>
  <si>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</si>
  <si>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</si>
  <si>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</si>
  <si>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</si>
  <si>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</si>
  <si>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</si>
  <si>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</si>
  <si>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</si>
  <si>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</si>
  <si>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</si>
  <si>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</si>
  <si>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</si>
  <si>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</si>
  <si>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</si>
  <si>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</si>
  <si>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</si>
  <si>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</si>
  <si>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</si>
  <si>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</si>
  <si>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</si>
  <si>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</si>
  <si>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</si>
  <si>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</si>
  <si>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</si>
  <si>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</si>
  <si>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</si>
  <si>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</si>
  <si>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</si>
  <si>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</si>
  <si>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</si>
  <si>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</si>
  <si>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</si>
  <si>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</si>
  <si>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</si>
  <si>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</si>
  <si>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</si>
  <si>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</si>
  <si>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</si>
  <si>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</si>
  <si>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</si>
  <si>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</si>
  <si>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</si>
  <si>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</si>
  <si>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</si>
  <si>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</si>
  <si>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</si>
  <si>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</si>
  <si>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</si>
  <si>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</si>
  <si>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</si>
  <si>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</si>
  <si>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</si>
  <si>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</si>
  <si>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</si>
  <si>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</si>
  <si>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</si>
  <si>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</si>
  <si>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</si>
  <si>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</si>
  <si>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</si>
  <si>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</si>
  <si>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</si>
  <si>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</si>
  <si>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</si>
  <si>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</si>
  <si>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</si>
  <si>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</si>
  <si>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</si>
  <si>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</si>
  <si>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</si>
  <si>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</si>
  <si>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</si>
  <si>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</si>
  <si>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</si>
  <si>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</si>
  <si>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</si>
  <si>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</si>
  <si>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</si>
  <si>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</si>
  <si>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</si>
  <si>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</si>
  <si>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</si>
  <si>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</si>
  <si>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</si>
  <si>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</si>
  <si>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</si>
  <si>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</si>
  <si>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</si>
  <si>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</si>
  <si>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</si>
  <si>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</si>
  <si>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</si>
  <si>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</si>
  <si>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</si>
  <si>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</si>
  <si>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</si>
  <si>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</si>
  <si>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</si>
  <si>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</si>
  <si>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</si>
  <si>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</si>
  <si>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</si>
  <si>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</si>
  <si>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</si>
  <si>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</si>
  <si>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</si>
  <si>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</si>
  <si>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</si>
  <si>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</si>
  <si>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</si>
  <si>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</si>
  <si>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</si>
  <si>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</si>
  <si>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</si>
  <si>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</si>
  <si>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</si>
  <si>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</si>
  <si>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</si>
  <si>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</si>
  <si>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</si>
  <si>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</si>
  <si>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</si>
  <si>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</si>
  <si>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</si>
  <si>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</si>
  <si>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</si>
  <si>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</si>
  <si>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</si>
  <si>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</si>
  <si>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</si>
  <si>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</si>
  <si>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</si>
  <si>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</si>
  <si>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</si>
  <si>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</si>
  <si>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</si>
  <si>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</si>
  <si>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</si>
  <si>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</si>
  <si>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</si>
  <si>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</si>
  <si>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</si>
  <si>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</si>
  <si>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</si>
  <si>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</si>
  <si>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</si>
  <si>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</si>
  <si>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</si>
  <si>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</si>
  <si>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</si>
  <si>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</si>
  <si>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</si>
  <si>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</si>
  <si>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</si>
  <si>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</si>
  <si>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</si>
  <si>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</si>
  <si>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</si>
  <si>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</si>
  <si>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</si>
  <si>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</si>
  <si>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</si>
  <si>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</si>
  <si>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</si>
  <si>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</si>
  <si>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</si>
  <si>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</si>
  <si>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</si>
  <si>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</si>
  <si>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</si>
  <si>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</si>
  <si>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</si>
  <si>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</si>
  <si>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</si>
  <si>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</si>
  <si>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</si>
  <si>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</si>
  <si>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</si>
  <si>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</si>
  <si>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</si>
  <si>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</si>
  <si>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</si>
  <si>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</si>
  <si>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</si>
  <si>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</si>
  <si>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</si>
  <si>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</si>
  <si>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</si>
  <si>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</si>
  <si>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</si>
  <si>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</si>
  <si>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</si>
  <si>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</si>
  <si>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</si>
  <si>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</si>
  <si>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</si>
  <si>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</si>
  <si>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</si>
  <si>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</si>
  <si>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</si>
  <si>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</si>
  <si>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</si>
  <si>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</si>
  <si>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</si>
  <si>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</si>
  <si>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</si>
  <si>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</si>
  <si>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</si>
  <si>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</si>
  <si>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</si>
  <si>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</si>
  <si>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</si>
  <si>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</si>
  <si>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</si>
  <si>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</si>
  <si>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</si>
  <si>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</si>
  <si>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</si>
  <si>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</si>
  <si>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</si>
  <si>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</si>
  <si>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</si>
  <si>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</si>
  <si>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</si>
  <si>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</si>
  <si>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</si>
  <si>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</si>
  <si>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</si>
  <si>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</si>
  <si>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</si>
  <si>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</si>
  <si>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</si>
  <si>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</si>
  <si>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</si>
  <si>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</si>
  <si>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</si>
  <si>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</si>
  <si>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</si>
  <si>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</si>
  <si>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</si>
  <si>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</si>
  <si>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</si>
  <si>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</si>
  <si>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</si>
  <si>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</si>
  <si>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</si>
  <si>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</si>
  <si>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</si>
  <si>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</si>
  <si>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</si>
  <si>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</si>
  <si>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</si>
  <si>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</si>
  <si>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</si>
  <si>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</si>
  <si>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</si>
  <si>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</si>
  <si>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</si>
  <si>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</si>
  <si>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</si>
  <si>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</si>
  <si>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</si>
  <si>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</si>
  <si>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</si>
  <si>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</si>
  <si>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</si>
  <si>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</si>
  <si>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</si>
  <si>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</si>
  <si>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</si>
  <si>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</si>
  <si>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</si>
  <si>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</si>
  <si>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</si>
  <si>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</si>
  <si>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</si>
  <si>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</si>
  <si>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</si>
  <si>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</si>
  <si>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</si>
  <si>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</si>
  <si>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</si>
  <si>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</si>
  <si>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</si>
  <si>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</si>
  <si>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</si>
  <si>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</si>
  <si>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</si>
  <si>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</si>
  <si>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</si>
  <si>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</si>
  <si>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</si>
  <si>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</si>
  <si>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</si>
  <si>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</si>
  <si>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</si>
  <si>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</si>
  <si>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</si>
  <si>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</si>
  <si>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</si>
  <si>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</si>
  <si>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</si>
  <si>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</si>
  <si>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</si>
  <si>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</si>
  <si>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</si>
  <si>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</si>
  <si>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</si>
  <si>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</si>
  <si>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</si>
  <si>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</si>
  <si>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</si>
  <si>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</si>
  <si>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</si>
  <si>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</si>
  <si>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</si>
  <si>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</si>
  <si>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</si>
  <si>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</si>
  <si>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</si>
  <si>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</si>
  <si>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</si>
  <si>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</si>
  <si>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</si>
  <si>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</si>
  <si>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</si>
  <si>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</si>
  <si>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</si>
  <si>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</si>
  <si>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</si>
  <si>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</si>
  <si>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</si>
  <si>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</si>
  <si>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</si>
  <si>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</si>
  <si>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</si>
  <si>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</si>
  <si>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</si>
  <si>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</si>
  <si>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</si>
  <si>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</si>
  <si>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</si>
  <si>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</si>
  <si>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</si>
  <si>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</si>
  <si>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</si>
  <si>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</si>
  <si>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</si>
  <si>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</si>
  <si>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</si>
  <si>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</si>
  <si>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</si>
  <si>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</si>
  <si>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</si>
  <si>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</si>
  <si>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Dover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</si>
</sst>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141</v>
      </c>
      <c r="C2" s="21">
        <v>141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324394.76+52621.16-21.18</f>
        <v>376994.74000000005</v>
      </c>
      <c r="G9" s="18">
        <v>43419.02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f>476888.13+587542.98</f>
        <v>1064431.1099999999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f>48763.76+156.81</f>
        <v>48920.57</v>
      </c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2812.45+1207683.96</f>
        <v>1210496.4099999999</v>
      </c>
      <c r="G14" s="18">
        <f>2146.94+2763.18+3757.08+4035.08</f>
        <v>12702.28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28963.99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f>2503903.77+2607689.08</f>
        <v>5111592.8499999996</v>
      </c>
      <c r="G18" s="18"/>
      <c r="H18" s="145">
        <v>312910.64</v>
      </c>
      <c r="I18" s="18"/>
      <c r="J18" s="67">
        <f>SUM(I445)</f>
        <v>1128201.46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6699084</v>
      </c>
      <c r="G19" s="41">
        <f>SUM(G9:G18)</f>
        <v>1198436.97</v>
      </c>
      <c r="H19" s="41">
        <f>SUM(H9:H18)</f>
        <v>312910.64</v>
      </c>
      <c r="I19" s="41">
        <f>SUM(I9:I18)</f>
        <v>0</v>
      </c>
      <c r="J19" s="41">
        <f>SUM(J9:J18)</f>
        <v>1128201.46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669220.25</v>
      </c>
      <c r="H22" s="18"/>
      <c r="I22" s="18"/>
      <c r="J22" s="67">
        <f>SUM(I448)</f>
        <v>17217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>
        <v>606.13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2834932.11</v>
      </c>
      <c r="G28" s="18">
        <f>368.47-348.59</f>
        <v>19.880000000000052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6407.61-7980.88+3.62+556.78-335.24+343+662556.49-46031.33+106093.43-145.83+305+145.83+89.5</f>
        <v>722007.98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3510</v>
      </c>
      <c r="G30" s="18">
        <v>2763.18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69564.34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3630014.4299999997</v>
      </c>
      <c r="G32" s="41">
        <f>SUM(G22:G31)</f>
        <v>672609.44000000006</v>
      </c>
      <c r="H32" s="41">
        <f>SUM(H22:H31)</f>
        <v>0</v>
      </c>
      <c r="I32" s="41">
        <f>SUM(I22:I31)</f>
        <v>0</v>
      </c>
      <c r="J32" s="41">
        <f>SUM(J22:J31)</f>
        <v>17217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28963.99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336082.49+61451.46+4035.08</f>
        <v>401569.03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461380.49</v>
      </c>
      <c r="G45" s="18">
        <v>95294.51</v>
      </c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312910.64</v>
      </c>
      <c r="I48" s="18"/>
      <c r="J48" s="13">
        <f>SUM(I459)</f>
        <v>1110984.46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2607689.08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3069069.5700000003</v>
      </c>
      <c r="G51" s="41">
        <f>SUM(G35:G50)</f>
        <v>525827.53</v>
      </c>
      <c r="H51" s="41">
        <f>SUM(H35:H50)</f>
        <v>312910.64</v>
      </c>
      <c r="I51" s="41">
        <f>SUM(I35:I50)</f>
        <v>0</v>
      </c>
      <c r="J51" s="41">
        <f>SUM(J35:J50)</f>
        <v>1110984.46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6699084</v>
      </c>
      <c r="G52" s="41">
        <f>G51+G32</f>
        <v>1198436.9700000002</v>
      </c>
      <c r="H52" s="41">
        <f>H51+H32</f>
        <v>312910.64</v>
      </c>
      <c r="I52" s="41">
        <f>I51+I32</f>
        <v>0</v>
      </c>
      <c r="J52" s="41">
        <f>J51+J32</f>
        <v>1128201.46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28833811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28833811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f>11050-1150</f>
        <v>9900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f>337.5+2675</f>
        <v>3012.5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>
        <v>102407.73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f>21729.98+2552732.19+1083760.54</f>
        <v>3658222.71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214450.24</v>
      </c>
      <c r="G69" s="24" t="s">
        <v>289</v>
      </c>
      <c r="H69" s="18">
        <v>148399.54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66817.649999999994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45906.559999999998</v>
      </c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>
        <v>392700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3998309.66</v>
      </c>
      <c r="G79" s="45" t="s">
        <v>289</v>
      </c>
      <c r="H79" s="41">
        <f>SUM(H63:H78)</f>
        <v>643507.27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f>19047.5+31063.05+12523.97</f>
        <v>62634.520000000004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62634.520000000004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800111.83-1</f>
        <v>800110.83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>
        <v>18186.8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>
        <f>390.63+111.63+96316.7+3288.5</f>
        <v>100107.45999999999</v>
      </c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29666.99</f>
        <v>29666.99</v>
      </c>
      <c r="G110" s="18">
        <f>567.9+1791.94</f>
        <v>2359.84</v>
      </c>
      <c r="H110" s="18">
        <f>57072.55+48831.44+180</f>
        <v>106083.99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29666.99</v>
      </c>
      <c r="G111" s="41">
        <f>SUM(G96:G110)</f>
        <v>802470.66999999993</v>
      </c>
      <c r="H111" s="41">
        <f>SUM(H96:H110)</f>
        <v>224378.25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32924422.169999998</v>
      </c>
      <c r="G112" s="41">
        <f>G60+G111</f>
        <v>802470.66999999993</v>
      </c>
      <c r="H112" s="41">
        <f>H60+H79+H94+H111</f>
        <v>867885.52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7058518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6710193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13768711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675017.86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230961.83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227127.76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1852.8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48042.44</v>
      </c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21019.23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110635.88</v>
      </c>
      <c r="G135" s="18">
        <v>83525.64</v>
      </c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1293638.5699999998</v>
      </c>
      <c r="G136" s="41">
        <f>SUM(G123:G135)</f>
        <v>104544.87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15062349.57</v>
      </c>
      <c r="G140" s="41">
        <f>G121+SUM(G136:G137)</f>
        <v>104544.87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2982.9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2982.9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21672.08+8869.4+740062.76+54449.63+22476.13</f>
        <v>847530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2455.64+297.31+7179.84+19576.88+3562.23+11245.87+226503.8</f>
        <v>270821.57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f>106950.44+22881.18+120584.75</f>
        <v>250416.37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f>483591.21+64160.53+67796.94+6584.99+10009.61</f>
        <v>632143.27999999991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624500.52+28392.52</f>
        <v>652893.04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812068.24+9861.83</f>
        <v>821930.07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589954.62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589954.62</v>
      </c>
      <c r="G162" s="41">
        <f>SUM(G150:G161)</f>
        <v>652893.04</v>
      </c>
      <c r="H162" s="41">
        <f>SUM(H150:H161)</f>
        <v>2822841.2899999996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592937.52</v>
      </c>
      <c r="G169" s="41">
        <f>G147+G162+SUM(G163:G168)</f>
        <v>652893.04</v>
      </c>
      <c r="H169" s="41">
        <f>H147+H162+SUM(H163:H168)</f>
        <v>2822841.2899999996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>
        <v>595438.47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595438.47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>
        <f>14566+392700</f>
        <v>407266</v>
      </c>
      <c r="I179" s="18">
        <v>105000</v>
      </c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407266</v>
      </c>
      <c r="I183" s="41">
        <f>SUM(I179:I182)</f>
        <v>105000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407266</v>
      </c>
      <c r="I192" s="41">
        <f>I177+I183+SUM(I188:I191)</f>
        <v>700438.47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48579709.259999998</v>
      </c>
      <c r="G193" s="47">
        <f>G112+G140+G169+G192</f>
        <v>1559908.58</v>
      </c>
      <c r="H193" s="47">
        <f>H112+H140+H169+H192</f>
        <v>4097992.8099999996</v>
      </c>
      <c r="I193" s="47">
        <f>I112+I140+I169+I192</f>
        <v>700438.47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4101151.81+21685.55+976347.1+4342+68927.81</f>
        <v>5172454.2699999996</v>
      </c>
      <c r="G197" s="18">
        <v>2401037.15</v>
      </c>
      <c r="H197" s="18">
        <f>2010+2587.24+229.1</f>
        <v>4826.34</v>
      </c>
      <c r="I197" s="18">
        <f>58738.05+51459.44</f>
        <v>110197.49</v>
      </c>
      <c r="J197" s="18">
        <f>8779.79+6397.78+4218.51+5698.08</f>
        <v>25094.160000000003</v>
      </c>
      <c r="K197" s="18"/>
      <c r="L197" s="19">
        <f>SUM(F197:K197)</f>
        <v>7713609.4100000001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1896454.2</v>
      </c>
      <c r="G198" s="18">
        <v>543803.86</v>
      </c>
      <c r="H198" s="18">
        <v>831918.5</v>
      </c>
      <c r="I198" s="18">
        <v>16492.57</v>
      </c>
      <c r="J198" s="18">
        <v>9083.16</v>
      </c>
      <c r="K198" s="18">
        <v>10426.1</v>
      </c>
      <c r="L198" s="19">
        <f>SUM(F198:K198)</f>
        <v>3308178.39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1586.26+2388+2632</f>
        <v>6606.26</v>
      </c>
      <c r="G200" s="18">
        <f>120.52+106.48+182.68+258.69+197.14+372.69</f>
        <v>1238.2</v>
      </c>
      <c r="H200" s="18">
        <v>421.2</v>
      </c>
      <c r="I200" s="18">
        <v>175.61</v>
      </c>
      <c r="J200" s="18"/>
      <c r="K200" s="18"/>
      <c r="L200" s="19">
        <f>SUM(F200:K200)</f>
        <v>8441.27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226476.97+188868.47+1404+71263+250986.27+2357+131867.04</f>
        <v>873222.75</v>
      </c>
      <c r="G202" s="18">
        <f>75861.17+2638.77+216+16241.4+32069.13+52404.72+1809.08+216+13797.05+26585.99+15823.66+483.08+72+5281.45+10090.74+40664.66+1758.88+432+18853.98+32090.31+54216.14+2191.54+216+8501.78+14799.54</f>
        <v>427315.06999999995</v>
      </c>
      <c r="H202" s="18">
        <f>1358.5+12113.81+789+51114.96+3157.22+9.55</f>
        <v>68543.039999999994</v>
      </c>
      <c r="I202" s="18">
        <f>3884.37+2635.44</f>
        <v>6519.8099999999995</v>
      </c>
      <c r="J202" s="18"/>
      <c r="K202" s="18"/>
      <c r="L202" s="19">
        <f t="shared" ref="L202:L208" si="0">SUM(F202:K202)</f>
        <v>1375600.67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6410+200727.37+1936+78315.07</f>
        <v>287388.44</v>
      </c>
      <c r="G203" s="18">
        <v>128602.9</v>
      </c>
      <c r="H203" s="18">
        <f>7141.46+642.78+376.99+2396.09</f>
        <v>10557.32</v>
      </c>
      <c r="I203" s="18">
        <f>3267.49+12115.3+6104.24+1181.56+1284.47+5881.7</f>
        <v>29834.760000000002</v>
      </c>
      <c r="J203" s="18">
        <v>25466.36</v>
      </c>
      <c r="K203" s="18">
        <v>276.51</v>
      </c>
      <c r="L203" s="19">
        <f t="shared" si="0"/>
        <v>482126.29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180095.86</v>
      </c>
      <c r="G204" s="18">
        <v>86765.24</v>
      </c>
      <c r="H204" s="18">
        <v>100304.18</v>
      </c>
      <c r="I204" s="18">
        <v>4473.59</v>
      </c>
      <c r="J204" s="18"/>
      <c r="K204" s="18">
        <v>7154.96</v>
      </c>
      <c r="L204" s="19">
        <f t="shared" si="0"/>
        <v>378793.83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443891.36</v>
      </c>
      <c r="G205" s="18">
        <v>192088.85</v>
      </c>
      <c r="H205" s="18">
        <v>31263.119999999999</v>
      </c>
      <c r="I205" s="18">
        <f>502.54</f>
        <v>502.54</v>
      </c>
      <c r="J205" s="18">
        <f>537.49</f>
        <v>537.49</v>
      </c>
      <c r="K205" s="18">
        <v>2489</v>
      </c>
      <c r="L205" s="19">
        <f t="shared" si="0"/>
        <v>670772.36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3772.08</v>
      </c>
      <c r="G207" s="18">
        <v>288.58</v>
      </c>
      <c r="H207" s="18">
        <v>1110353.22</v>
      </c>
      <c r="I207" s="18">
        <v>361937.15</v>
      </c>
      <c r="J207" s="18">
        <f>3883+11884.95</f>
        <v>15767.95</v>
      </c>
      <c r="K207" s="18"/>
      <c r="L207" s="19">
        <f t="shared" si="0"/>
        <v>1492118.9799999997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4720.95</v>
      </c>
      <c r="G208" s="18">
        <v>747.28</v>
      </c>
      <c r="H208" s="18">
        <v>709606.32</v>
      </c>
      <c r="I208" s="18"/>
      <c r="J208" s="18"/>
      <c r="K208" s="18"/>
      <c r="L208" s="19">
        <f t="shared" si="0"/>
        <v>715074.54999999993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105407.64</v>
      </c>
      <c r="G209" s="18">
        <v>194865.42</v>
      </c>
      <c r="H209" s="18">
        <v>133508.54999999999</v>
      </c>
      <c r="I209" s="18">
        <f>7796.81</f>
        <v>7796.81</v>
      </c>
      <c r="J209" s="18">
        <v>84110.68</v>
      </c>
      <c r="K209" s="18">
        <f>622.53</f>
        <v>622.53</v>
      </c>
      <c r="L209" s="19">
        <f>SUM(F209:K209)</f>
        <v>526311.63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8974013.8099999987</v>
      </c>
      <c r="G211" s="41">
        <f t="shared" si="1"/>
        <v>3976752.55</v>
      </c>
      <c r="H211" s="41">
        <f t="shared" si="1"/>
        <v>3001301.7899999996</v>
      </c>
      <c r="I211" s="41">
        <f t="shared" si="1"/>
        <v>537930.33000000007</v>
      </c>
      <c r="J211" s="41">
        <f t="shared" si="1"/>
        <v>160059.79999999999</v>
      </c>
      <c r="K211" s="41">
        <f t="shared" si="1"/>
        <v>20969.099999999999</v>
      </c>
      <c r="L211" s="41">
        <f t="shared" si="1"/>
        <v>16671027.380000001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3488378.65+18486.3+49486.63</f>
        <v>3556351.5799999996</v>
      </c>
      <c r="G215" s="18">
        <v>1688891.15</v>
      </c>
      <c r="H215" s="18">
        <f>1495+735.74+47.8</f>
        <v>2278.54</v>
      </c>
      <c r="I215" s="18">
        <v>88823.42</v>
      </c>
      <c r="J215" s="18">
        <f>5267+13343.83+2519.7+419.9</f>
        <v>21550.430000000004</v>
      </c>
      <c r="K215" s="18"/>
      <c r="L215" s="19">
        <f>SUM(F215:K215)</f>
        <v>5357895.1199999992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1257402.18</v>
      </c>
      <c r="G216" s="18">
        <v>367844.75</v>
      </c>
      <c r="H216" s="18">
        <v>696412.9</v>
      </c>
      <c r="I216" s="18">
        <v>11039.45</v>
      </c>
      <c r="J216" s="18">
        <v>6921.21</v>
      </c>
      <c r="K216" s="18">
        <v>7485.41</v>
      </c>
      <c r="L216" s="19">
        <f>SUM(F216:K216)</f>
        <v>2347105.9000000004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7313+18764</f>
        <v>26077</v>
      </c>
      <c r="G218" s="18">
        <f>559.42+1035.52+1432.76+715.79</f>
        <v>3743.49</v>
      </c>
      <c r="H218" s="18">
        <v>4027.4</v>
      </c>
      <c r="I218" s="18">
        <f>2812.2</f>
        <v>2812.2</v>
      </c>
      <c r="J218" s="18"/>
      <c r="K218" s="18">
        <f>1500+1360</f>
        <v>2860</v>
      </c>
      <c r="L218" s="19">
        <f>SUM(F218:K218)</f>
        <v>39520.089999999997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287943.36+1963+72293.48+50648+67033+702+24892.4</f>
        <v>505475.24</v>
      </c>
      <c r="G220" s="18">
        <f>92410.59+3154.97+432+21099.39+39759.88+842.92+72+5471.48+8740.08+15210.54+483.08+72+3711.63+7171.83+7605.38+502.84+72+5118.26+9591.17+1904.28</f>
        <v>223426.32</v>
      </c>
      <c r="H220" s="18">
        <f>8294.4+5279.31+2266.72</f>
        <v>15840.429999999998</v>
      </c>
      <c r="I220" s="18">
        <f>1422.32+1110.79</f>
        <v>2533.1099999999997</v>
      </c>
      <c r="J220" s="18"/>
      <c r="K220" s="18"/>
      <c r="L220" s="19">
        <f t="shared" ref="L220:L226" si="2">SUM(F220:K220)</f>
        <v>747275.10000000009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19227.5+38634+56226.21</f>
        <v>114087.70999999999</v>
      </c>
      <c r="G221" s="18">
        <v>35958.550000000003</v>
      </c>
      <c r="H221" s="18">
        <f>4960.93+1720.27</f>
        <v>6681.2000000000007</v>
      </c>
      <c r="I221" s="18">
        <f>156.52+3442.67+1657.41+542.46+96.78+4222.76</f>
        <v>10118.6</v>
      </c>
      <c r="J221" s="18">
        <v>17254.810000000001</v>
      </c>
      <c r="K221" s="18">
        <v>198.52</v>
      </c>
      <c r="L221" s="19">
        <f t="shared" si="2"/>
        <v>184299.39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129299.59</v>
      </c>
      <c r="G222" s="18">
        <v>62292.99</v>
      </c>
      <c r="H222" s="18">
        <v>72252.149999999994</v>
      </c>
      <c r="I222" s="18">
        <v>3211.81</v>
      </c>
      <c r="J222" s="18"/>
      <c r="K222" s="18">
        <v>5136.8900000000003</v>
      </c>
      <c r="L222" s="19">
        <f t="shared" si="2"/>
        <v>272193.43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376707.81</v>
      </c>
      <c r="G223" s="18">
        <v>179720.75</v>
      </c>
      <c r="H223" s="18">
        <v>27212.3</v>
      </c>
      <c r="I223" s="18">
        <v>575.52</v>
      </c>
      <c r="J223" s="18"/>
      <c r="K223" s="18">
        <v>2923.97</v>
      </c>
      <c r="L223" s="19">
        <f t="shared" si="2"/>
        <v>587140.35000000009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2708.16</v>
      </c>
      <c r="G225" s="18">
        <v>207.18</v>
      </c>
      <c r="H225" s="18">
        <v>794512.64</v>
      </c>
      <c r="I225" s="18">
        <f>70630.63+189729.44-261.58</f>
        <v>260098.49000000002</v>
      </c>
      <c r="J225" s="18">
        <v>8532.7800000000007</v>
      </c>
      <c r="K225" s="18"/>
      <c r="L225" s="19">
        <f t="shared" si="2"/>
        <v>1066059.25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3389.4</v>
      </c>
      <c r="G226" s="18">
        <v>536.51</v>
      </c>
      <c r="H226" s="18">
        <v>530579.88</v>
      </c>
      <c r="I226" s="18"/>
      <c r="J226" s="18"/>
      <c r="K226" s="18"/>
      <c r="L226" s="19">
        <f t="shared" si="2"/>
        <v>534505.79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91126.01</v>
      </c>
      <c r="G227" s="18">
        <v>83023.72</v>
      </c>
      <c r="H227" s="18">
        <v>96790.16</v>
      </c>
      <c r="I227" s="18">
        <v>5597.71</v>
      </c>
      <c r="J227" s="18">
        <v>60387.16</v>
      </c>
      <c r="K227" s="18">
        <v>446.95</v>
      </c>
      <c r="L227" s="19">
        <f>SUM(F227:K227)</f>
        <v>337371.71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6062624.6799999997</v>
      </c>
      <c r="G229" s="41">
        <f>SUM(G215:G228)</f>
        <v>2645645.41</v>
      </c>
      <c r="H229" s="41">
        <f>SUM(H215:H228)</f>
        <v>2246587.6</v>
      </c>
      <c r="I229" s="41">
        <f>SUM(I215:I228)</f>
        <v>384810.31000000006</v>
      </c>
      <c r="J229" s="41">
        <f>SUM(J215:J228)</f>
        <v>114646.39000000001</v>
      </c>
      <c r="K229" s="41">
        <f t="shared" si="3"/>
        <v>19051.740000000002</v>
      </c>
      <c r="L229" s="41">
        <f t="shared" si="3"/>
        <v>11473366.129999999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4150770.01</v>
      </c>
      <c r="G233" s="18">
        <v>2025784.64</v>
      </c>
      <c r="H233" s="18">
        <v>6239.14</v>
      </c>
      <c r="I233" s="18">
        <v>138288.20000000001</v>
      </c>
      <c r="J233" s="18">
        <f>1074.91+13422.87+1850+765.28</f>
        <v>17113.060000000001</v>
      </c>
      <c r="K233" s="18"/>
      <c r="L233" s="19">
        <f>SUM(F233:K233)</f>
        <v>6338195.0499999989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1091273.46</v>
      </c>
      <c r="G234" s="18">
        <v>344120.79</v>
      </c>
      <c r="H234" s="18">
        <v>531274.53</v>
      </c>
      <c r="I234" s="18">
        <v>10946.81</v>
      </c>
      <c r="J234" s="18">
        <v>6241.97</v>
      </c>
      <c r="K234" s="18">
        <f>1600+8822.09</f>
        <v>10422.09</v>
      </c>
      <c r="L234" s="19">
        <f>SUM(F234:K234)</f>
        <v>1994279.6500000001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f>1192801.9+4209+131827+1122</f>
        <v>1329959.8999999999</v>
      </c>
      <c r="G235" s="18">
        <f>320316.16+11672.96+1152+87593.56+155979.87+30+18800.62+1005.68+144+9890.19+18666.72+77.89+146.72</f>
        <v>625476.37</v>
      </c>
      <c r="H235" s="18">
        <f>4183.6+8132.75+739+2228+26.65+766.57+5562.09+1184.98+75.04</f>
        <v>22898.68</v>
      </c>
      <c r="I235" s="18">
        <f>87760.8+6374.56+13978.41+15314.1</f>
        <v>123427.87000000001</v>
      </c>
      <c r="J235" s="18">
        <f>24969.57+1000+12029.18+1706.73+2850</f>
        <v>42555.48</v>
      </c>
      <c r="K235" s="18">
        <f>599</f>
        <v>599</v>
      </c>
      <c r="L235" s="19">
        <f>SUM(F235:K235)</f>
        <v>2144917.2999999998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3525+20975.04+261339.28+3726+962.5</f>
        <v>290527.82</v>
      </c>
      <c r="G236" s="18">
        <f>269.01+73.21+1604.52+2226+23002.8+1686.1+216+20152.21+23160.66</f>
        <v>72390.509999999995</v>
      </c>
      <c r="H236" s="18">
        <v>64993.15</v>
      </c>
      <c r="I236" s="18">
        <v>32401.13</v>
      </c>
      <c r="J236" s="18">
        <f>18579.66</f>
        <v>18579.66</v>
      </c>
      <c r="K236" s="18">
        <f>1220+39674.25</f>
        <v>40894.25</v>
      </c>
      <c r="L236" s="19">
        <f>SUM(F236:K236)</f>
        <v>519786.52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538854.42000000004</v>
      </c>
      <c r="G238" s="18">
        <v>210661.51</v>
      </c>
      <c r="H238" s="18">
        <v>63809.05</v>
      </c>
      <c r="I238" s="18">
        <f>1948.62+1436.66</f>
        <v>3385.2799999999997</v>
      </c>
      <c r="J238" s="18"/>
      <c r="K238" s="18"/>
      <c r="L238" s="19">
        <f t="shared" ref="L238:L244" si="4">SUM(F238:K238)</f>
        <v>816710.26000000013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24570+68233+807.74+66266.6</f>
        <v>159877.34000000003</v>
      </c>
      <c r="G239" s="18">
        <v>81489.25</v>
      </c>
      <c r="H239" s="18">
        <v>29200.54</v>
      </c>
      <c r="I239" s="18">
        <f>315.2+4089.46+1200+5542.97+1916.09+113.03+4976.82</f>
        <v>18153.57</v>
      </c>
      <c r="J239" s="18">
        <v>21675.56</v>
      </c>
      <c r="K239" s="18">
        <v>233.97</v>
      </c>
      <c r="L239" s="19">
        <f t="shared" si="4"/>
        <v>310630.23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152388.79999999999</v>
      </c>
      <c r="G240" s="18">
        <v>73416.740000000005</v>
      </c>
      <c r="H240" s="18">
        <v>89474.57</v>
      </c>
      <c r="I240" s="18">
        <v>3785.35</v>
      </c>
      <c r="J240" s="18"/>
      <c r="K240" s="18">
        <v>6054.2</v>
      </c>
      <c r="L240" s="19">
        <f t="shared" si="4"/>
        <v>325119.65999999997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566055.56999999995</v>
      </c>
      <c r="G241" s="18">
        <v>231004.38</v>
      </c>
      <c r="H241" s="18">
        <v>25888.42</v>
      </c>
      <c r="I241" s="18">
        <v>16936.84</v>
      </c>
      <c r="J241" s="18"/>
      <c r="K241" s="18">
        <f>1913+3815</f>
        <v>5728</v>
      </c>
      <c r="L241" s="19">
        <f t="shared" si="4"/>
        <v>845613.21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3191.76</v>
      </c>
      <c r="G243" s="18">
        <v>244.18</v>
      </c>
      <c r="H243" s="18">
        <v>974974.29</v>
      </c>
      <c r="I243" s="18">
        <v>370867.1</v>
      </c>
      <c r="J243" s="18">
        <v>10056.49</v>
      </c>
      <c r="K243" s="18"/>
      <c r="L243" s="19">
        <f t="shared" si="4"/>
        <v>1359333.82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3994.65</v>
      </c>
      <c r="G244" s="18">
        <v>632.32000000000005</v>
      </c>
      <c r="H244" s="18">
        <v>623773.21</v>
      </c>
      <c r="I244" s="18">
        <v>202.22</v>
      </c>
      <c r="J244" s="18"/>
      <c r="K244" s="18"/>
      <c r="L244" s="19">
        <f t="shared" si="4"/>
        <v>628602.39999999991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77451.55</v>
      </c>
      <c r="G245" s="18">
        <v>129370.55</v>
      </c>
      <c r="H245" s="18">
        <v>112968.46</v>
      </c>
      <c r="I245" s="18">
        <v>6597.3</v>
      </c>
      <c r="J245" s="18">
        <v>71170.58</v>
      </c>
      <c r="K245" s="18">
        <v>526.76</v>
      </c>
      <c r="L245" s="19">
        <f>SUM(F245:K245)</f>
        <v>398085.2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8364345.2799999993</v>
      </c>
      <c r="G247" s="41">
        <f t="shared" si="5"/>
        <v>3794591.2399999993</v>
      </c>
      <c r="H247" s="41">
        <f t="shared" si="5"/>
        <v>2545494.04</v>
      </c>
      <c r="I247" s="41">
        <f t="shared" si="5"/>
        <v>724991.67</v>
      </c>
      <c r="J247" s="41">
        <f t="shared" si="5"/>
        <v>187392.80000000002</v>
      </c>
      <c r="K247" s="41">
        <f t="shared" si="5"/>
        <v>64458.27</v>
      </c>
      <c r="L247" s="41">
        <f t="shared" si="5"/>
        <v>15681273.299999999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f>144834.5+700</f>
        <v>145534.5</v>
      </c>
      <c r="G251" s="18">
        <f>28717.08+2226.66+288+10900.64+15797.26</f>
        <v>57929.640000000007</v>
      </c>
      <c r="H251" s="18"/>
      <c r="I251" s="18"/>
      <c r="J251" s="18"/>
      <c r="K251" s="18"/>
      <c r="L251" s="19">
        <f t="shared" si="6"/>
        <v>203464.14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145534.5</v>
      </c>
      <c r="G256" s="41">
        <f t="shared" si="7"/>
        <v>57929.640000000007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203464.14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23546518.269999996</v>
      </c>
      <c r="G257" s="41">
        <f t="shared" si="8"/>
        <v>10474918.84</v>
      </c>
      <c r="H257" s="41">
        <f t="shared" si="8"/>
        <v>7793383.4299999997</v>
      </c>
      <c r="I257" s="41">
        <f t="shared" si="8"/>
        <v>1647732.31</v>
      </c>
      <c r="J257" s="41">
        <f t="shared" si="8"/>
        <v>462098.99</v>
      </c>
      <c r="K257" s="41">
        <f t="shared" si="8"/>
        <v>104479.10999999999</v>
      </c>
      <c r="L257" s="41">
        <f t="shared" si="8"/>
        <v>44029130.949999996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2378105.87</v>
      </c>
      <c r="L260" s="19">
        <f>SUM(F260:K260)</f>
        <v>2378105.87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1449907.62</v>
      </c>
      <c r="L261" s="19">
        <f>SUM(F261:K261)</f>
        <v>1449907.62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f>14566+392700</f>
        <v>407266</v>
      </c>
      <c r="L264" s="19">
        <f t="shared" ref="L264:L270" si="9">SUM(F264:K264)</f>
        <v>407266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105000</v>
      </c>
      <c r="L265" s="19">
        <f t="shared" si="9"/>
        <v>105000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4340279.49</v>
      </c>
      <c r="L270" s="41">
        <f t="shared" si="9"/>
        <v>4340279.49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23546518.269999996</v>
      </c>
      <c r="G271" s="42">
        <f t="shared" si="11"/>
        <v>10474918.84</v>
      </c>
      <c r="H271" s="42">
        <f t="shared" si="11"/>
        <v>7793383.4299999997</v>
      </c>
      <c r="I271" s="42">
        <f t="shared" si="11"/>
        <v>1647732.31</v>
      </c>
      <c r="J271" s="42">
        <f t="shared" si="11"/>
        <v>462098.99</v>
      </c>
      <c r="K271" s="42">
        <f t="shared" si="11"/>
        <v>4444758.6000000006</v>
      </c>
      <c r="L271" s="42">
        <f t="shared" si="11"/>
        <v>48369410.439999998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5566.27+370020.88</f>
        <v>375587.15</v>
      </c>
      <c r="G276" s="18">
        <f>19.16+424.24+26079.03+601.46+1008+701.89+27650.29+16357.86+1325.07+2629.69</f>
        <v>76796.69</v>
      </c>
      <c r="H276" s="18">
        <f>145.22</f>
        <v>145.22</v>
      </c>
      <c r="I276" s="18">
        <f>208.62+35.45+1994.45+285</f>
        <v>2523.52</v>
      </c>
      <c r="J276" s="18">
        <v>169.99</v>
      </c>
      <c r="K276" s="18"/>
      <c r="L276" s="19">
        <f>SUM(F276:K276)</f>
        <v>455222.57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9750+9036.37+4438.8+191094.75</f>
        <v>214319.92</v>
      </c>
      <c r="G277" s="18">
        <f>309.54+20+5.22+268.39+538.74+1.86+691.32+339.56+93776.85</f>
        <v>95951.48000000001</v>
      </c>
      <c r="H277" s="18">
        <f>16.24+439.56+1110+19166.54</f>
        <v>20732.34</v>
      </c>
      <c r="I277" s="18">
        <f>102.99+265.52+459.35+2238.39+3327.13</f>
        <v>6393.38</v>
      </c>
      <c r="J277" s="18">
        <f>307+707.5</f>
        <v>1014.5</v>
      </c>
      <c r="K277" s="18"/>
      <c r="L277" s="19">
        <f>SUM(F277:K277)</f>
        <v>338411.62000000005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12525.5+9171.41+20166.26</f>
        <v>41863.17</v>
      </c>
      <c r="G281" s="18">
        <f>26.3+903.07+1649.73+3999.36+1655.3</f>
        <v>8233.76</v>
      </c>
      <c r="H281" s="18">
        <f>430+378.48</f>
        <v>808.48</v>
      </c>
      <c r="I281" s="18">
        <f>381.91+1541.32+1146.21+1170.76</f>
        <v>4240.2</v>
      </c>
      <c r="J281" s="18">
        <v>8597.16</v>
      </c>
      <c r="K281" s="18"/>
      <c r="L281" s="19">
        <f t="shared" ref="L281:L287" si="12">SUM(F281:K281)</f>
        <v>63742.770000000004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35631.45+33796.85+34707.95+3426.66</f>
        <v>107562.90999999999</v>
      </c>
      <c r="G282" s="18">
        <f>3802.68+251.42+37.5+57.56+2693.58+5045.33+72+422.7+37.5+65.51+2555.98+4785.59+72+37.5+56.07+2654.93+4914.74+72+587.99</f>
        <v>28222.579999999998</v>
      </c>
      <c r="H282" s="18">
        <f>1903+1386+15932.5+838.95</f>
        <v>20060.45</v>
      </c>
      <c r="I282" s="18">
        <f>625+2302.2+33.08</f>
        <v>2960.2799999999997</v>
      </c>
      <c r="J282" s="18"/>
      <c r="K282" s="18"/>
      <c r="L282" s="19">
        <f t="shared" si="12"/>
        <v>158806.22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>
        <v>19.39</v>
      </c>
      <c r="J283" s="18"/>
      <c r="K283" s="18"/>
      <c r="L283" s="19">
        <f t="shared" si="12"/>
        <v>19.39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23242.99</v>
      </c>
      <c r="G284" s="18">
        <v>8083.1</v>
      </c>
      <c r="H284" s="18">
        <v>229.03</v>
      </c>
      <c r="I284" s="18">
        <v>443.59</v>
      </c>
      <c r="J284" s="18"/>
      <c r="K284" s="18"/>
      <c r="L284" s="19">
        <f t="shared" si="12"/>
        <v>31998.710000000003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f>4000+422.35</f>
        <v>4422.3500000000004</v>
      </c>
      <c r="I287" s="18"/>
      <c r="J287" s="18"/>
      <c r="K287" s="18"/>
      <c r="L287" s="19">
        <f t="shared" si="12"/>
        <v>4422.3500000000004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>
        <v>32600.02</v>
      </c>
      <c r="L288" s="19">
        <f>SUM(F288:K288)</f>
        <v>32600.02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762576.14000000013</v>
      </c>
      <c r="G290" s="42">
        <f t="shared" si="13"/>
        <v>217287.61000000002</v>
      </c>
      <c r="H290" s="42">
        <f t="shared" si="13"/>
        <v>46397.87</v>
      </c>
      <c r="I290" s="42">
        <f t="shared" si="13"/>
        <v>16580.359999999997</v>
      </c>
      <c r="J290" s="42">
        <f t="shared" si="13"/>
        <v>9781.65</v>
      </c>
      <c r="K290" s="42">
        <f t="shared" si="13"/>
        <v>32600.02</v>
      </c>
      <c r="L290" s="41">
        <f t="shared" si="13"/>
        <v>1085223.6500000001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f>111835.32</f>
        <v>111835.32</v>
      </c>
      <c r="G295" s="18">
        <f>1887.98+25502.05+1018.9+230+186.26+7416.85+7298.47+279.73</f>
        <v>43820.240000000005</v>
      </c>
      <c r="H295" s="18"/>
      <c r="I295" s="18">
        <f>971.06+572.52+600</f>
        <v>2143.58</v>
      </c>
      <c r="J295" s="18"/>
      <c r="K295" s="18"/>
      <c r="L295" s="19">
        <f>SUM(F295:K295)</f>
        <v>157799.13999999998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137196.23</f>
        <v>137196.23000000001</v>
      </c>
      <c r="G296" s="18">
        <f>67326.97</f>
        <v>67326.97</v>
      </c>
      <c r="H296" s="18">
        <f>13760.61</f>
        <v>13760.61</v>
      </c>
      <c r="I296" s="18">
        <f>2388.71</f>
        <v>2388.71</v>
      </c>
      <c r="J296" s="18">
        <f>507.95</f>
        <v>507.95</v>
      </c>
      <c r="K296" s="18"/>
      <c r="L296" s="19">
        <f>SUM(F296:K296)</f>
        <v>221180.47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f>6584.6+14478.35</f>
        <v>21062.95</v>
      </c>
      <c r="G300" s="18">
        <f>2871.33+72+1188.42</f>
        <v>4131.75</v>
      </c>
      <c r="H300" s="18">
        <f>271.73</f>
        <v>271.73</v>
      </c>
      <c r="I300" s="18">
        <f>1106.59+822.92+840.55</f>
        <v>2770.0599999999995</v>
      </c>
      <c r="J300" s="18">
        <v>6172.32</v>
      </c>
      <c r="K300" s="18"/>
      <c r="L300" s="19">
        <f t="shared" ref="L300:L306" si="14">SUM(F300:K300)</f>
        <v>34408.81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f>2460.17+50523.05</f>
        <v>52983.22</v>
      </c>
      <c r="G301" s="18">
        <f>422.14+27926.53+1133.67+75.5+85.54+3607.51+5433.74+92.6</f>
        <v>38777.229999999996</v>
      </c>
      <c r="H301" s="18">
        <f>602.32</f>
        <v>602.32000000000005</v>
      </c>
      <c r="I301" s="18">
        <f>23.75</f>
        <v>23.75</v>
      </c>
      <c r="J301" s="18"/>
      <c r="K301" s="18"/>
      <c r="L301" s="19">
        <f t="shared" si="14"/>
        <v>92386.52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>
        <v>13.92</v>
      </c>
      <c r="J302" s="18"/>
      <c r="K302" s="18"/>
      <c r="L302" s="19">
        <f t="shared" si="14"/>
        <v>13.92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f>16687.27</f>
        <v>16687.27</v>
      </c>
      <c r="G303" s="18">
        <f>5803.25</f>
        <v>5803.25</v>
      </c>
      <c r="H303" s="18">
        <f>164.43</f>
        <v>164.43</v>
      </c>
      <c r="I303" s="18">
        <f>318.48</f>
        <v>318.48</v>
      </c>
      <c r="J303" s="18"/>
      <c r="K303" s="18"/>
      <c r="L303" s="19">
        <f t="shared" si="14"/>
        <v>22973.43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f>303.23</f>
        <v>303.23</v>
      </c>
      <c r="I306" s="18"/>
      <c r="J306" s="18"/>
      <c r="K306" s="18"/>
      <c r="L306" s="19">
        <f t="shared" si="14"/>
        <v>303.23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>
        <f>23405.14</f>
        <v>23405.14</v>
      </c>
      <c r="L307" s="19">
        <f>SUM(F307:K307)</f>
        <v>23405.14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339764.99</v>
      </c>
      <c r="G309" s="42">
        <f t="shared" si="15"/>
        <v>159859.44</v>
      </c>
      <c r="H309" s="42">
        <f t="shared" si="15"/>
        <v>15102.32</v>
      </c>
      <c r="I309" s="42">
        <f t="shared" si="15"/>
        <v>7658.5</v>
      </c>
      <c r="J309" s="42">
        <f t="shared" si="15"/>
        <v>6680.2699999999995</v>
      </c>
      <c r="K309" s="42">
        <f t="shared" si="15"/>
        <v>23405.14</v>
      </c>
      <c r="L309" s="41">
        <f t="shared" si="15"/>
        <v>552470.66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f>9059.25</f>
        <v>9059.25</v>
      </c>
      <c r="G314" s="18">
        <f>2225.12+674.97+1282.77+2764.28</f>
        <v>6947.1400000000012</v>
      </c>
      <c r="H314" s="18"/>
      <c r="I314" s="18"/>
      <c r="J314" s="18"/>
      <c r="K314" s="18"/>
      <c r="L314" s="19">
        <f>SUM(F314:K314)</f>
        <v>16006.390000000001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161695.56+8593.65+361744.63+1178</f>
        <v>533211.84</v>
      </c>
      <c r="G315" s="18">
        <f>79349.65+657.39+92023.4+6180.68+432+26981.44+46502.49</f>
        <v>252127.05</v>
      </c>
      <c r="H315" s="18">
        <f>16217.85+847.7+345+660+6261.06+126.74+672.78+415.34</f>
        <v>25546.47</v>
      </c>
      <c r="I315" s="18">
        <f>2815.26+1128.78+1183.2+301.95+599</f>
        <v>6028.19</v>
      </c>
      <c r="J315" s="18">
        <f>598.65+379</f>
        <v>977.65</v>
      </c>
      <c r="K315" s="18"/>
      <c r="L315" s="19">
        <f>SUM(F315:K315)</f>
        <v>817891.19999999984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>
        <f>1377.5</f>
        <v>1377.5</v>
      </c>
      <c r="I316" s="18">
        <f>265.75+243.84+975+3483.34</f>
        <v>4967.93</v>
      </c>
      <c r="J316" s="18">
        <f>9463.04+5499.97+29203.13+16919.33</f>
        <v>61085.47</v>
      </c>
      <c r="K316" s="18">
        <f>309</f>
        <v>309</v>
      </c>
      <c r="L316" s="19">
        <f>SUM(F316:K316)</f>
        <v>67739.899999999994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f>7760.43+17063.76</f>
        <v>24824.19</v>
      </c>
      <c r="G319" s="18">
        <f>3384.07+1400.64</f>
        <v>4784.71</v>
      </c>
      <c r="H319" s="18">
        <f>320.26</f>
        <v>320.26</v>
      </c>
      <c r="I319" s="18">
        <f>1304.19+969.87+990.06+167.95</f>
        <v>3432.0699999999997</v>
      </c>
      <c r="J319" s="18">
        <v>7274.52</v>
      </c>
      <c r="K319" s="18">
        <f>1643.75</f>
        <v>1643.75</v>
      </c>
      <c r="L319" s="19">
        <f t="shared" ref="L319:L325" si="16">SUM(F319:K319)</f>
        <v>42279.5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2899.49+5201.32</f>
        <v>8100.8099999999995</v>
      </c>
      <c r="G320" s="18">
        <f>497.53+2250+385.21+663.73</f>
        <v>3796.47</v>
      </c>
      <c r="H320" s="18">
        <f>709.88+2435+2845.14+266.32+419.6+16656.79+576.49+2284.33+11113</f>
        <v>37306.550000000003</v>
      </c>
      <c r="I320" s="18">
        <f>27.99+288.096+116.1+4621.89+300</f>
        <v>5354.076</v>
      </c>
      <c r="J320" s="18"/>
      <c r="K320" s="18">
        <f>4270.76</f>
        <v>4270.76</v>
      </c>
      <c r="L320" s="19">
        <f t="shared" si="16"/>
        <v>58828.666000000005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>
        <f>107.65</f>
        <v>107.65</v>
      </c>
      <c r="I321" s="18">
        <v>16.41</v>
      </c>
      <c r="J321" s="18"/>
      <c r="K321" s="18"/>
      <c r="L321" s="19">
        <f t="shared" si="16"/>
        <v>124.06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f>19667.15</f>
        <v>19667.150000000001</v>
      </c>
      <c r="G322" s="18">
        <f>6839.54</f>
        <v>6839.54</v>
      </c>
      <c r="H322" s="18">
        <f>193.79</f>
        <v>193.79</v>
      </c>
      <c r="I322" s="18">
        <f>375.35</f>
        <v>375.35</v>
      </c>
      <c r="J322" s="18"/>
      <c r="K322" s="18"/>
      <c r="L322" s="19">
        <f t="shared" si="16"/>
        <v>27075.83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>
        <f>307.58+152.04+305+1354.17</f>
        <v>2118.79</v>
      </c>
      <c r="I324" s="18">
        <f>8555.37+7156.64</f>
        <v>15712.010000000002</v>
      </c>
      <c r="J324" s="18"/>
      <c r="K324" s="18"/>
      <c r="L324" s="19">
        <f t="shared" si="16"/>
        <v>17830.800000000003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f>357.37+6069.16</f>
        <v>6426.53</v>
      </c>
      <c r="I325" s="18"/>
      <c r="J325" s="18"/>
      <c r="K325" s="18"/>
      <c r="L325" s="19">
        <f t="shared" si="16"/>
        <v>6426.53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>
        <f>6215.47</f>
        <v>6215.47</v>
      </c>
      <c r="I326" s="18"/>
      <c r="J326" s="18"/>
      <c r="K326" s="18">
        <f>27584.63+3905.12</f>
        <v>31489.75</v>
      </c>
      <c r="L326" s="19">
        <f>SUM(F326:K326)</f>
        <v>37705.22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594863.24</v>
      </c>
      <c r="G328" s="42">
        <f t="shared" si="17"/>
        <v>274494.90999999997</v>
      </c>
      <c r="H328" s="42">
        <f t="shared" si="17"/>
        <v>79613.009999999995</v>
      </c>
      <c r="I328" s="42">
        <f t="shared" si="17"/>
        <v>35886.036</v>
      </c>
      <c r="J328" s="42">
        <f t="shared" si="17"/>
        <v>69337.64</v>
      </c>
      <c r="K328" s="42">
        <f t="shared" si="17"/>
        <v>37713.26</v>
      </c>
      <c r="L328" s="41">
        <f t="shared" si="17"/>
        <v>1091908.0959999999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>
        <f>31778.07-791+1000+4110+20397.82</f>
        <v>56494.89</v>
      </c>
      <c r="G332" s="18">
        <f>7529.05+406.14+144+2495.82+3460.42+303.04+516.7+1560.49</f>
        <v>16415.660000000003</v>
      </c>
      <c r="H332" s="18">
        <f>36618.49+2954.08+1034.8+3185+3850+327.8+2800+4661.01+8971.57</f>
        <v>64402.750000000007</v>
      </c>
      <c r="I332" s="18">
        <f>5205.73+4365.75+113.42+498.65</f>
        <v>10183.549999999999</v>
      </c>
      <c r="J332" s="18">
        <f>4500</f>
        <v>4500</v>
      </c>
      <c r="K332" s="18"/>
      <c r="L332" s="19">
        <f t="shared" ref="L332:L337" si="18">SUM(F332:K332)</f>
        <v>151996.85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f>273460.78+111724.99+3690.75+59145.9+55695+19248.25+95027.15</f>
        <v>617992.82000000007</v>
      </c>
      <c r="G333" s="18">
        <f>14904+483.08+72+71+20613.52+6123.98+1133.89+843+144+214.89+8546.96+14489.79+210.1+4260.7+1393.33+1887.59+4339.08+71.07+282.45+7358.26+1357.68</f>
        <v>88800.37</v>
      </c>
      <c r="H333" s="18">
        <f>549.57+308.82+350+588+1440.66+50735.82+3673.24+2700.27+2668.44+4600+23340+100</f>
        <v>91054.82</v>
      </c>
      <c r="I333" s="18">
        <f>13004.85+100+3486.68</f>
        <v>16591.53</v>
      </c>
      <c r="J333" s="18">
        <v>3470.73</v>
      </c>
      <c r="K333" s="18">
        <f>115+745+23140.97+287.99</f>
        <v>24288.960000000003</v>
      </c>
      <c r="L333" s="19">
        <f t="shared" si="18"/>
        <v>842199.23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674487.71000000008</v>
      </c>
      <c r="G337" s="41">
        <f t="shared" si="19"/>
        <v>105216.03</v>
      </c>
      <c r="H337" s="41">
        <f t="shared" si="19"/>
        <v>155457.57</v>
      </c>
      <c r="I337" s="41">
        <f t="shared" si="19"/>
        <v>26775.079999999998</v>
      </c>
      <c r="J337" s="41">
        <f t="shared" si="19"/>
        <v>7970.73</v>
      </c>
      <c r="K337" s="41">
        <f t="shared" si="19"/>
        <v>24288.960000000003</v>
      </c>
      <c r="L337" s="41">
        <f t="shared" si="18"/>
        <v>994196.08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2371692.08</v>
      </c>
      <c r="G338" s="41">
        <f t="shared" si="20"/>
        <v>756857.99</v>
      </c>
      <c r="H338" s="41">
        <f t="shared" si="20"/>
        <v>296570.77</v>
      </c>
      <c r="I338" s="41">
        <f t="shared" si="20"/>
        <v>86899.975999999995</v>
      </c>
      <c r="J338" s="41">
        <f t="shared" si="20"/>
        <v>93770.29</v>
      </c>
      <c r="K338" s="41">
        <f t="shared" si="20"/>
        <v>118007.38000000002</v>
      </c>
      <c r="L338" s="41">
        <f t="shared" si="20"/>
        <v>3723798.486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2371692.08</v>
      </c>
      <c r="G352" s="41">
        <f>G338</f>
        <v>756857.99</v>
      </c>
      <c r="H352" s="41">
        <f>H338</f>
        <v>296570.77</v>
      </c>
      <c r="I352" s="41">
        <f>I338</f>
        <v>86899.975999999995</v>
      </c>
      <c r="J352" s="41">
        <f>J338</f>
        <v>93770.29</v>
      </c>
      <c r="K352" s="47">
        <f>K338+K351</f>
        <v>118007.38000000002</v>
      </c>
      <c r="L352" s="41">
        <f>L338+L351</f>
        <v>3723798.486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584398.28</v>
      </c>
      <c r="I358" s="18"/>
      <c r="J358" s="18"/>
      <c r="K358" s="18"/>
      <c r="L358" s="13">
        <f>SUM(F358:K358)</f>
        <v>584398.28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v>419567.99</v>
      </c>
      <c r="I359" s="18"/>
      <c r="J359" s="18"/>
      <c r="K359" s="18"/>
      <c r="L359" s="19">
        <f>SUM(F359:K359)</f>
        <v>419567.99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494490.85</v>
      </c>
      <c r="I360" s="18"/>
      <c r="J360" s="18"/>
      <c r="K360" s="18"/>
      <c r="L360" s="19">
        <f>SUM(F360:K360)</f>
        <v>494490.85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1498457.12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1498457.12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>
        <f>445702.73+131735.74</f>
        <v>577438.47</v>
      </c>
      <c r="K376" s="18"/>
      <c r="L376" s="13">
        <f t="shared" si="23"/>
        <v>577438.47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>
        <v>18000</v>
      </c>
      <c r="K379" s="18"/>
      <c r="L379" s="13">
        <f t="shared" si="23"/>
        <v>18000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595438.47</v>
      </c>
      <c r="K382" s="47">
        <f t="shared" si="24"/>
        <v>0</v>
      </c>
      <c r="L382" s="47">
        <f t="shared" si="24"/>
        <v>595438.47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>
        <f>1110984.46+17217</f>
        <v>1128201.46</v>
      </c>
      <c r="G445" s="18"/>
      <c r="H445" s="18"/>
      <c r="I445" s="56">
        <f t="shared" si="33"/>
        <v>1128201.46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1128201.46</v>
      </c>
      <c r="G446" s="13">
        <f>SUM(G439:G445)</f>
        <v>0</v>
      </c>
      <c r="H446" s="13">
        <f>SUM(H439:H445)</f>
        <v>0</v>
      </c>
      <c r="I446" s="13">
        <f>SUM(I439:I445)</f>
        <v>1128201.46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>
        <v>17217</v>
      </c>
      <c r="G448" s="18"/>
      <c r="H448" s="18"/>
      <c r="I448" s="56">
        <f>SUM(F448:H448)</f>
        <v>17217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17217</v>
      </c>
      <c r="G452" s="72">
        <f>SUM(G448:G451)</f>
        <v>0</v>
      </c>
      <c r="H452" s="72">
        <f>SUM(H448:H451)</f>
        <v>0</v>
      </c>
      <c r="I452" s="72">
        <f>SUM(I448:I451)</f>
        <v>17217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1110984.46</v>
      </c>
      <c r="G459" s="18"/>
      <c r="H459" s="18"/>
      <c r="I459" s="56">
        <f t="shared" si="34"/>
        <v>1110984.46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1110984.46</v>
      </c>
      <c r="G460" s="83">
        <f>SUM(G454:G459)</f>
        <v>0</v>
      </c>
      <c r="H460" s="83">
        <f>SUM(H454:H459)</f>
        <v>0</v>
      </c>
      <c r="I460" s="83">
        <f>SUM(I454:I459)</f>
        <v>1110984.46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1128201.46</v>
      </c>
      <c r="G461" s="42">
        <f>G452+G460</f>
        <v>0</v>
      </c>
      <c r="H461" s="42">
        <f>H452+H460</f>
        <v>0</v>
      </c>
      <c r="I461" s="42">
        <f>I452+I460</f>
        <v>1128201.46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f>1554926.21+1303844.54</f>
        <v>2858770.75</v>
      </c>
      <c r="G465" s="18">
        <v>464376.07</v>
      </c>
      <c r="H465" s="18">
        <v>345982.32</v>
      </c>
      <c r="I465" s="18">
        <v>0</v>
      </c>
      <c r="J465" s="18">
        <v>1110984.46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13035705.26+6710193+28833811</f>
        <v>48579709.259999998</v>
      </c>
      <c r="G468" s="18">
        <f>800111.83+567.9+1791.94+21019.23+83525.64+28392.52+673464.28-48963.76-1</f>
        <v>1559908.5799999998</v>
      </c>
      <c r="H468" s="18">
        <f>3705292.81+392700</f>
        <v>4097992.81</v>
      </c>
      <c r="I468" s="18">
        <f>445702.73+18000+131735.74+105000</f>
        <v>700438.47</v>
      </c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48579709.259999998</v>
      </c>
      <c r="G470" s="53">
        <f>SUM(G468:G469)</f>
        <v>1559908.5799999998</v>
      </c>
      <c r="H470" s="53">
        <f>SUM(H468:H469)</f>
        <v>4097992.81</v>
      </c>
      <c r="I470" s="53">
        <f>SUM(I468:I469)</f>
        <v>700438.47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44541396.95+2378105.87+1449907.62</f>
        <v>48369410.439999998</v>
      </c>
      <c r="G472" s="18">
        <v>1498457.12</v>
      </c>
      <c r="H472" s="18">
        <f>2874179.32+25213.31+103743.09+568665.92+151996.85</f>
        <v>3723798.4899999998</v>
      </c>
      <c r="I472" s="18">
        <f>445702.73+18000+131735.74</f>
        <v>595438.47</v>
      </c>
      <c r="J472" s="18">
        <f>392700-392700</f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>
        <f>14566+392700</f>
        <v>407266</v>
      </c>
      <c r="I473" s="18">
        <v>105000</v>
      </c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48369410.439999998</v>
      </c>
      <c r="G474" s="53">
        <f>SUM(G472:G473)</f>
        <v>1498457.12</v>
      </c>
      <c r="H474" s="53">
        <f>SUM(H472:H473)</f>
        <v>4131064.4899999998</v>
      </c>
      <c r="I474" s="53">
        <f>SUM(I472:I473)</f>
        <v>700438.47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3069069.5700000003</v>
      </c>
      <c r="G476" s="53">
        <f>(G465+G470)- G474</f>
        <v>525827.5299999998</v>
      </c>
      <c r="H476" s="53">
        <f>(H465+H470)- H474</f>
        <v>312910.64000000013</v>
      </c>
      <c r="I476" s="53">
        <f>(I465+I470)- I474</f>
        <v>0</v>
      </c>
      <c r="J476" s="53">
        <f>(J465+J470)- J474</f>
        <v>1110984.46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f>19322247.96+2378105.87</f>
        <v>21700353.830000002</v>
      </c>
      <c r="G495" s="18"/>
      <c r="H495" s="18"/>
      <c r="I495" s="18"/>
      <c r="J495" s="18"/>
      <c r="K495" s="53">
        <f>SUM(F495:J495)</f>
        <v>21700353.830000002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2378105.87</v>
      </c>
      <c r="G497" s="18"/>
      <c r="H497" s="18"/>
      <c r="I497" s="18"/>
      <c r="J497" s="18"/>
      <c r="K497" s="53">
        <f t="shared" si="35"/>
        <v>2378105.87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19322247.960000001</v>
      </c>
      <c r="G498" s="204"/>
      <c r="H498" s="204"/>
      <c r="I498" s="204"/>
      <c r="J498" s="204"/>
      <c r="K498" s="205">
        <f t="shared" si="35"/>
        <v>19322247.960000001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8844633.6500000004</v>
      </c>
      <c r="G499" s="18"/>
      <c r="H499" s="18"/>
      <c r="I499" s="18"/>
      <c r="J499" s="18"/>
      <c r="K499" s="53">
        <f t="shared" si="35"/>
        <v>8844633.6500000004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28166881.609999999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28166881.609999999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2245585.81</v>
      </c>
      <c r="G501" s="204"/>
      <c r="H501" s="204"/>
      <c r="I501" s="204"/>
      <c r="J501" s="204"/>
      <c r="K501" s="205">
        <f t="shared" si="35"/>
        <v>2245585.81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1476992.05</v>
      </c>
      <c r="G502" s="18"/>
      <c r="H502" s="18"/>
      <c r="I502" s="18"/>
      <c r="J502" s="18"/>
      <c r="K502" s="53">
        <f t="shared" si="35"/>
        <v>1476992.05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3722577.8600000003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3722577.8600000003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>
        <v>-175072.43</v>
      </c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2031223.78</v>
      </c>
      <c r="G521" s="18">
        <v>615180.84</v>
      </c>
      <c r="H521" s="18">
        <v>824617.16</v>
      </c>
      <c r="I521" s="18">
        <v>18272.93</v>
      </c>
      <c r="J521" s="18">
        <v>3843.97</v>
      </c>
      <c r="K521" s="18">
        <v>0.03</v>
      </c>
      <c r="L521" s="88">
        <f>SUM(F521:K521)</f>
        <v>3493138.7100000004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1337485.31</v>
      </c>
      <c r="G522" s="18">
        <v>417528.49</v>
      </c>
      <c r="H522" s="18">
        <v>690046.77</v>
      </c>
      <c r="I522" s="18">
        <v>10116.25</v>
      </c>
      <c r="J522" s="18">
        <v>2939.33</v>
      </c>
      <c r="K522" s="18">
        <v>0.03</v>
      </c>
      <c r="L522" s="88">
        <f>SUM(F522:K522)</f>
        <v>2458116.1800000002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1557173.47</v>
      </c>
      <c r="G523" s="18">
        <v>575454.03</v>
      </c>
      <c r="H523" s="18">
        <v>533100.19999999995</v>
      </c>
      <c r="I523" s="18">
        <v>13071.67</v>
      </c>
      <c r="J523" s="18">
        <v>1928.04</v>
      </c>
      <c r="K523" s="18">
        <v>1600.03</v>
      </c>
      <c r="L523" s="88">
        <f>SUM(F523:K523)</f>
        <v>2682327.44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4925882.5599999996</v>
      </c>
      <c r="G524" s="108">
        <f t="shared" ref="G524:L524" si="36">SUM(G521:G523)</f>
        <v>1608163.3599999999</v>
      </c>
      <c r="H524" s="108">
        <f t="shared" si="36"/>
        <v>2047764.1300000001</v>
      </c>
      <c r="I524" s="108">
        <f t="shared" si="36"/>
        <v>41460.85</v>
      </c>
      <c r="J524" s="108">
        <f t="shared" si="36"/>
        <v>8711.34</v>
      </c>
      <c r="K524" s="108">
        <f t="shared" si="36"/>
        <v>1600.09</v>
      </c>
      <c r="L524" s="89">
        <f t="shared" si="36"/>
        <v>8633582.3300000001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68714+870+59294+71263+62231+45222+26291.36+93749.91+617+27351.04+870</f>
        <v>456473.31</v>
      </c>
      <c r="G526" s="18">
        <f>15823.66+483.08+72+5176.35+9853.12+20534.08+842.92+72+4072.89+8396.03+15823.66+483.08+72+5281.45+10090.74+15714.66+483.08+72+4547.13+8935.16+21361.52+842.92+72+3216.07+6403.51+9126.34+289.88+144+1911.37+3722.83+502.84+144+7219.13+9579.2+12320.54+505.7+72+1212.82</f>
        <v>205475.76000000007</v>
      </c>
      <c r="H526" s="18">
        <f>26125.71+3157.22+24989.25</f>
        <v>54272.18</v>
      </c>
      <c r="I526" s="18"/>
      <c r="J526" s="18"/>
      <c r="K526" s="18"/>
      <c r="L526" s="88">
        <f>SUM(F526:K526)</f>
        <v>716221.25000000012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50648+67033+702+24892.4</f>
        <v>143275.4</v>
      </c>
      <c r="G527" s="18">
        <f>15210.54+483.08+72+3711.63+7171.83+7605.38+502.84+72+5118.26+9591.17+1904.28</f>
        <v>51443.009999999995</v>
      </c>
      <c r="H527" s="18">
        <f>2266.72+5279.31</f>
        <v>7546.0300000000007</v>
      </c>
      <c r="I527" s="18"/>
      <c r="J527" s="18"/>
      <c r="K527" s="18"/>
      <c r="L527" s="88">
        <f>SUM(F527:K527)</f>
        <v>202264.43999999997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45478+28979.86</f>
        <v>74457.86</v>
      </c>
      <c r="G528" s="18">
        <f>20174.84+842.92+72+3142.33+6439.68+3478.39+229.28+72+2092.66</f>
        <v>36544.099999999991</v>
      </c>
      <c r="H528" s="18">
        <f>2671.5+6218.94</f>
        <v>8890.4399999999987</v>
      </c>
      <c r="I528" s="18"/>
      <c r="J528" s="18"/>
      <c r="K528" s="18"/>
      <c r="L528" s="88">
        <f>SUM(F528:K528)</f>
        <v>119892.4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674206.57</v>
      </c>
      <c r="G529" s="89">
        <f t="shared" ref="G529:L529" si="37">SUM(G526:G528)</f>
        <v>293462.87000000005</v>
      </c>
      <c r="H529" s="89">
        <f t="shared" si="37"/>
        <v>70708.649999999994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1038378.0900000001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79550.34</v>
      </c>
      <c r="G531" s="18">
        <v>24574.5</v>
      </c>
      <c r="H531" s="18">
        <v>28033.68</v>
      </c>
      <c r="I531" s="18">
        <v>4613.0200000000004</v>
      </c>
      <c r="J531" s="18">
        <v>6253.69</v>
      </c>
      <c r="K531" s="18">
        <v>10426.07</v>
      </c>
      <c r="L531" s="88">
        <f>SUM(F531:K531)</f>
        <v>153451.29999999999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57113.1</v>
      </c>
      <c r="G532" s="18">
        <v>17643.23</v>
      </c>
      <c r="H532" s="18">
        <v>20126.740000000002</v>
      </c>
      <c r="I532" s="18">
        <v>3311.91</v>
      </c>
      <c r="J532" s="18">
        <v>4489.83</v>
      </c>
      <c r="K532" s="18">
        <v>7485.38</v>
      </c>
      <c r="L532" s="88">
        <f>SUM(F532:K532)</f>
        <v>110170.19000000002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67311.83</v>
      </c>
      <c r="G533" s="18">
        <v>20793.810000000001</v>
      </c>
      <c r="H533" s="18">
        <v>23720.799999999999</v>
      </c>
      <c r="I533" s="18">
        <v>3903.33</v>
      </c>
      <c r="J533" s="18">
        <v>5291.58</v>
      </c>
      <c r="K533" s="18">
        <v>8822.06</v>
      </c>
      <c r="L533" s="88">
        <f>SUM(F533:K533)</f>
        <v>129843.41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203975.27000000002</v>
      </c>
      <c r="G534" s="89">
        <f t="shared" ref="G534:L534" si="38">SUM(G531:G533)</f>
        <v>63011.539999999994</v>
      </c>
      <c r="H534" s="89">
        <f t="shared" si="38"/>
        <v>71881.22</v>
      </c>
      <c r="I534" s="89">
        <f t="shared" si="38"/>
        <v>11828.26</v>
      </c>
      <c r="J534" s="89">
        <f t="shared" si="38"/>
        <v>16035.1</v>
      </c>
      <c r="K534" s="89">
        <f t="shared" si="38"/>
        <v>26733.510000000002</v>
      </c>
      <c r="L534" s="89">
        <f t="shared" si="38"/>
        <v>393464.9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22015.51</v>
      </c>
      <c r="I536" s="18"/>
      <c r="J536" s="18"/>
      <c r="K536" s="18"/>
      <c r="L536" s="88">
        <f>SUM(F536:K536)</f>
        <v>22015.51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15806.01</v>
      </c>
      <c r="I537" s="18"/>
      <c r="J537" s="18"/>
      <c r="K537" s="18"/>
      <c r="L537" s="88">
        <f>SUM(F537:K537)</f>
        <v>15806.01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18628.509999999998</v>
      </c>
      <c r="I538" s="18"/>
      <c r="J538" s="18"/>
      <c r="K538" s="18"/>
      <c r="L538" s="88">
        <f>SUM(F538:K538)</f>
        <v>18628.509999999998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56450.03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56450.03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252346.97</v>
      </c>
      <c r="I541" s="18"/>
      <c r="J541" s="18"/>
      <c r="K541" s="18"/>
      <c r="L541" s="88">
        <f>SUM(F541:K541)</f>
        <v>252346.97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197061.79</v>
      </c>
      <c r="I542" s="18"/>
      <c r="J542" s="18"/>
      <c r="K542" s="18"/>
      <c r="L542" s="88">
        <f>SUM(F542:K542)</f>
        <v>197061.79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97465.02</v>
      </c>
      <c r="I543" s="18"/>
      <c r="J543" s="18"/>
      <c r="K543" s="18"/>
      <c r="L543" s="88">
        <f>SUM(F543:K543)</f>
        <v>97465.02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546873.78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546873.78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5804064.4000000004</v>
      </c>
      <c r="G545" s="89">
        <f t="shared" ref="G545:L545" si="41">G524+G529+G534+G539+G544</f>
        <v>1964637.77</v>
      </c>
      <c r="H545" s="89">
        <f t="shared" si="41"/>
        <v>2793677.8100000005</v>
      </c>
      <c r="I545" s="89">
        <f t="shared" si="41"/>
        <v>53289.11</v>
      </c>
      <c r="J545" s="89">
        <f t="shared" si="41"/>
        <v>24746.440000000002</v>
      </c>
      <c r="K545" s="89">
        <f t="shared" si="41"/>
        <v>28333.600000000002</v>
      </c>
      <c r="L545" s="89">
        <f t="shared" si="41"/>
        <v>10668749.129999999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3493138.7100000004</v>
      </c>
      <c r="G549" s="87">
        <f>L526</f>
        <v>716221.25000000012</v>
      </c>
      <c r="H549" s="87">
        <f>L531</f>
        <v>153451.29999999999</v>
      </c>
      <c r="I549" s="87">
        <f>L536</f>
        <v>22015.51</v>
      </c>
      <c r="J549" s="87">
        <f>L541</f>
        <v>252346.97</v>
      </c>
      <c r="K549" s="87">
        <f>SUM(F549:J549)</f>
        <v>4637173.74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2458116.1800000002</v>
      </c>
      <c r="G550" s="87">
        <f>L527</f>
        <v>202264.43999999997</v>
      </c>
      <c r="H550" s="87">
        <f>L532</f>
        <v>110170.19000000002</v>
      </c>
      <c r="I550" s="87">
        <f>L537</f>
        <v>15806.01</v>
      </c>
      <c r="J550" s="87">
        <f>L542</f>
        <v>197061.79</v>
      </c>
      <c r="K550" s="87">
        <f>SUM(F550:J550)</f>
        <v>2983418.61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2682327.44</v>
      </c>
      <c r="G551" s="87">
        <f>L528</f>
        <v>119892.4</v>
      </c>
      <c r="H551" s="87">
        <f>L533</f>
        <v>129843.41</v>
      </c>
      <c r="I551" s="87">
        <f>L538</f>
        <v>18628.509999999998</v>
      </c>
      <c r="J551" s="87">
        <f>L543</f>
        <v>97465.02</v>
      </c>
      <c r="K551" s="87">
        <f>SUM(F551:J551)</f>
        <v>3048156.78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8633582.3300000001</v>
      </c>
      <c r="G552" s="89">
        <f t="shared" si="42"/>
        <v>1038378.0900000001</v>
      </c>
      <c r="H552" s="89">
        <f t="shared" si="42"/>
        <v>393464.9</v>
      </c>
      <c r="I552" s="89">
        <f t="shared" si="42"/>
        <v>56450.03</v>
      </c>
      <c r="J552" s="89">
        <f t="shared" si="42"/>
        <v>546873.78</v>
      </c>
      <c r="K552" s="89">
        <f t="shared" si="42"/>
        <v>10668749.129999999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24352.5</v>
      </c>
      <c r="G575" s="18"/>
      <c r="H575" s="18">
        <v>5562.09</v>
      </c>
      <c r="I575" s="87">
        <f>SUM(F575:H575)</f>
        <v>29914.59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40</v>
      </c>
      <c r="G580" s="18"/>
      <c r="H580" s="18"/>
      <c r="I580" s="87">
        <f t="shared" si="47"/>
        <v>40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518571.76</v>
      </c>
      <c r="G582" s="18">
        <v>573889.73</v>
      </c>
      <c r="H582" s="18">
        <f>426606.03+615+2790</f>
        <v>430011.03</v>
      </c>
      <c r="I582" s="87">
        <f t="shared" si="47"/>
        <v>1522472.52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18550.25</v>
      </c>
      <c r="I584" s="87">
        <f t="shared" si="47"/>
        <v>18550.25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437496.17</v>
      </c>
      <c r="I591" s="18">
        <v>314099.82</v>
      </c>
      <c r="J591" s="18">
        <v>370189.07</v>
      </c>
      <c r="K591" s="104">
        <f t="shared" ref="K591:K597" si="48">SUM(H591:J591)</f>
        <v>1121785.06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90428.75+16145.3+145772.92</f>
        <v>252346.97000000003</v>
      </c>
      <c r="I592" s="18">
        <f>170316.79+26745</f>
        <v>197061.79</v>
      </c>
      <c r="J592" s="18">
        <f>64545.12+32919.9</f>
        <v>97465.02</v>
      </c>
      <c r="K592" s="104">
        <f t="shared" si="48"/>
        <v>546873.78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58439.82</v>
      </c>
      <c r="K593" s="104">
        <f t="shared" si="48"/>
        <v>58439.82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5229.33</v>
      </c>
      <c r="J594" s="18">
        <f>71855.42</f>
        <v>71855.42</v>
      </c>
      <c r="K594" s="104">
        <f t="shared" si="48"/>
        <v>77084.75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>
        <v>9303.41</v>
      </c>
      <c r="K595" s="104">
        <f t="shared" si="48"/>
        <v>9303.41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25231.41</v>
      </c>
      <c r="I597" s="18">
        <v>18114.849999999999</v>
      </c>
      <c r="J597" s="18">
        <v>21349.66</v>
      </c>
      <c r="K597" s="104">
        <f t="shared" si="48"/>
        <v>64695.92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715074.55</v>
      </c>
      <c r="I598" s="108">
        <f>SUM(I591:I597)</f>
        <v>534505.79</v>
      </c>
      <c r="J598" s="108">
        <f>SUM(J591:J597)</f>
        <v>628602.40000000014</v>
      </c>
      <c r="K598" s="108">
        <f>SUM(K591:K597)</f>
        <v>1878182.74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160059.8+1184.49+8597.16</f>
        <v>169841.44999999998</v>
      </c>
      <c r="I604" s="18">
        <f>114646.39+507.95+6172.32</f>
        <v>121326.66</v>
      </c>
      <c r="J604" s="18">
        <f>187392.8+62063.12+7970.73+7274.52</f>
        <v>264701.17</v>
      </c>
      <c r="K604" s="104">
        <f>SUM(H604:J604)</f>
        <v>555869.28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169841.44999999998</v>
      </c>
      <c r="I605" s="108">
        <f>SUM(I602:I604)</f>
        <v>121326.66</v>
      </c>
      <c r="J605" s="108">
        <f>SUM(J602:J604)</f>
        <v>264701.17</v>
      </c>
      <c r="K605" s="108">
        <f>SUM(K602:K604)</f>
        <v>555869.28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2632+18451.07</f>
        <v>21083.07</v>
      </c>
      <c r="G611" s="18">
        <f>197.14+372.69+175.61+3421.98</f>
        <v>4167.42</v>
      </c>
      <c r="H611" s="18"/>
      <c r="I611" s="18"/>
      <c r="J611" s="18"/>
      <c r="K611" s="18"/>
      <c r="L611" s="88">
        <f>SUM(F611:K611)</f>
        <v>25250.489999999998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18451.07</v>
      </c>
      <c r="G612" s="18">
        <v>3421.98</v>
      </c>
      <c r="H612" s="18"/>
      <c r="I612" s="18"/>
      <c r="J612" s="18"/>
      <c r="K612" s="18"/>
      <c r="L612" s="88">
        <f>SUM(F612:K612)</f>
        <v>21873.05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1384.2+13535.05</f>
        <v>14919.25</v>
      </c>
      <c r="G613" s="18">
        <f>405.47+13.68+102.46+196-1676-40.27+1040.99+1916.55</f>
        <v>1958.88</v>
      </c>
      <c r="H613" s="18"/>
      <c r="I613" s="18"/>
      <c r="J613" s="18"/>
      <c r="K613" s="18"/>
      <c r="L613" s="88">
        <f>SUM(F613:K613)</f>
        <v>16878.13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54453.39</v>
      </c>
      <c r="G614" s="108">
        <f t="shared" si="49"/>
        <v>9548.2799999999988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64001.67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6699084</v>
      </c>
      <c r="H617" s="109">
        <f>SUM(F52)</f>
        <v>6699084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1198436.97</v>
      </c>
      <c r="H618" s="109">
        <f>SUM(G52)</f>
        <v>1198436.9700000002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312910.64</v>
      </c>
      <c r="H619" s="109">
        <f>SUM(H52)</f>
        <v>312910.64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1128201.46</v>
      </c>
      <c r="H621" s="109">
        <f>SUM(J52)</f>
        <v>1128201.46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3069069.5700000003</v>
      </c>
      <c r="H622" s="109">
        <f>F476</f>
        <v>3069069.5700000003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525827.53</v>
      </c>
      <c r="H623" s="109">
        <f>G476</f>
        <v>525827.5299999998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312910.64</v>
      </c>
      <c r="H624" s="109">
        <f>H476</f>
        <v>312910.64000000013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1110984.46</v>
      </c>
      <c r="H626" s="109">
        <f>J476</f>
        <v>1110984.46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48579709.259999998</v>
      </c>
      <c r="H627" s="104">
        <f>SUM(F468)</f>
        <v>48579709.259999998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1559908.58</v>
      </c>
      <c r="H628" s="104">
        <f>SUM(G468)</f>
        <v>1559908.5799999998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4097992.8099999996</v>
      </c>
      <c r="H629" s="104">
        <f>SUM(H468)</f>
        <v>4097992.81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700438.47</v>
      </c>
      <c r="H630" s="104">
        <f>SUM(I468)</f>
        <v>700438.47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48369410.439999998</v>
      </c>
      <c r="H632" s="104">
        <f>SUM(F472)</f>
        <v>48369410.439999998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3723798.486</v>
      </c>
      <c r="H633" s="104">
        <f>SUM(H472)</f>
        <v>3723798.4899999998</v>
      </c>
      <c r="I633" s="140" t="s">
        <v>112</v>
      </c>
      <c r="J633" s="109">
        <f>G633-H633</f>
        <v>-3.9999997243285179E-3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1498457.12</v>
      </c>
      <c r="H635" s="104">
        <f>SUM(G472)</f>
        <v>1498457.12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595438.47</v>
      </c>
      <c r="H636" s="104">
        <f>SUM(I472)</f>
        <v>595438.47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1128201.46</v>
      </c>
      <c r="H639" s="104">
        <f>SUM(F461)</f>
        <v>1128201.46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1128201.46</v>
      </c>
      <c r="H642" s="104">
        <f>SUM(I461)</f>
        <v>1128201.46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1878182.74</v>
      </c>
      <c r="H647" s="104">
        <f>L208+L226+L244</f>
        <v>1878182.7399999998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555869.28</v>
      </c>
      <c r="H648" s="104">
        <f>(J257+J338)-(J255+J336)</f>
        <v>555869.28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715074.54999999993</v>
      </c>
      <c r="H649" s="104">
        <f>H598</f>
        <v>715074.55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534505.79</v>
      </c>
      <c r="H650" s="104">
        <f>I598</f>
        <v>534505.79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628602.39999999991</v>
      </c>
      <c r="H651" s="104">
        <f>J598</f>
        <v>628602.40000000014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407266</v>
      </c>
      <c r="H653" s="104">
        <f>K264</f>
        <v>407266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105000</v>
      </c>
      <c r="H654" s="104">
        <f>K265+K346</f>
        <v>105000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-3.9999932050704956E-3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18340649.310000002</v>
      </c>
      <c r="G660" s="19">
        <f>(L229+L309+L359)</f>
        <v>12445404.779999999</v>
      </c>
      <c r="H660" s="19">
        <f>(L247+L328+L360)</f>
        <v>17267672.245999999</v>
      </c>
      <c r="I660" s="19">
        <f>SUM(F660:H660)</f>
        <v>48053726.336000003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312963.56301370007</v>
      </c>
      <c r="G661" s="19">
        <f>(L359/IF(SUM(L358:L360)=0,1,SUM(L358:L360))*(SUM(G97:G110)))</f>
        <v>224691.78567208731</v>
      </c>
      <c r="H661" s="19">
        <f>(L360/IF(SUM(L358:L360)=0,1,SUM(L358:L360))*(SUM(G97:G110)))</f>
        <v>264815.32131421246</v>
      </c>
      <c r="I661" s="19">
        <f>SUM(F661:H661)</f>
        <v>802470.66999999993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719496.89999999991</v>
      </c>
      <c r="G662" s="19">
        <f>(L226+L306)-(J226+J306)</f>
        <v>534809.02</v>
      </c>
      <c r="H662" s="19">
        <f>(L244+L325)-(J244+J325)</f>
        <v>635028.92999999993</v>
      </c>
      <c r="I662" s="19">
        <f>SUM(F662:H662)</f>
        <v>1889334.8499999999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738056.2</v>
      </c>
      <c r="G663" s="199">
        <f>SUM(G575:G587)+SUM(I602:I604)+L612</f>
        <v>717089.44000000006</v>
      </c>
      <c r="H663" s="199">
        <f>SUM(H575:H587)+SUM(J602:J604)+L613</f>
        <v>735702.67</v>
      </c>
      <c r="I663" s="19">
        <f>SUM(F663:H663)</f>
        <v>2190848.31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16570132.646986302</v>
      </c>
      <c r="G664" s="19">
        <f>G660-SUM(G661:G663)</f>
        <v>10968814.534327911</v>
      </c>
      <c r="H664" s="19">
        <f>H660-SUM(H661:H663)</f>
        <v>15632125.324685786</v>
      </c>
      <c r="I664" s="19">
        <f>I660-SUM(I661:I663)</f>
        <v>43171072.506000005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1561.81</v>
      </c>
      <c r="G665" s="248">
        <v>1160.05</v>
      </c>
      <c r="H665" s="248">
        <v>1291.18</v>
      </c>
      <c r="I665" s="19">
        <f>SUM(F665:H665)</f>
        <v>4013.04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10609.57</v>
      </c>
      <c r="G667" s="19">
        <f>ROUND(G664/G665,2)</f>
        <v>9455.4699999999993</v>
      </c>
      <c r="H667" s="19">
        <f>ROUND(H664/H665,2)</f>
        <v>12106.85</v>
      </c>
      <c r="I667" s="19">
        <f>ROUND(I664/I665,2)</f>
        <v>10757.7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20.260000000000002</v>
      </c>
      <c r="I670" s="19">
        <f>SUM(F670:H670)</f>
        <v>20.260000000000002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10609.57</v>
      </c>
      <c r="G672" s="19">
        <f>ROUND((G664+G669)/(G665+G670),2)</f>
        <v>9455.4699999999993</v>
      </c>
      <c r="H672" s="19">
        <f>ROUND((H664+H669)/(H665+H670),2)</f>
        <v>11919.82</v>
      </c>
      <c r="I672" s="19">
        <f>ROUND((I664+I669)/(I665+I670),2)</f>
        <v>10703.66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H28" sqref="H2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Dover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13376057.58</v>
      </c>
      <c r="C9" s="229">
        <f>'DOE25'!G197+'DOE25'!G215+'DOE25'!G233+'DOE25'!G276+'DOE25'!G295+'DOE25'!G314</f>
        <v>6243277.0099999998</v>
      </c>
    </row>
    <row r="10" spans="1:3" x14ac:dyDescent="0.2">
      <c r="A10" t="s">
        <v>779</v>
      </c>
      <c r="B10" s="240">
        <f>10806120.14+698450.44+267915.16+4159.5+1384.2+67033+62339.72+4067+481856.2+5566.27+9059.24</f>
        <v>12407950.869999999</v>
      </c>
      <c r="C10" s="240">
        <f>5406092.82+354937.38+20530.23+899.29+717.61+30330.52+767.5+18.22+732.49+13262.9+851.96-1407.24+115655.86+949.4+443.4+1184.05+1957.74+7373.63</f>
        <v>5955297.7600000016</v>
      </c>
    </row>
    <row r="11" spans="1:3" x14ac:dyDescent="0.2">
      <c r="A11" t="s">
        <v>780</v>
      </c>
      <c r="B11" s="240">
        <f>520983.26+277896.66+200+275+9563.81</f>
        <v>808918.73</v>
      </c>
      <c r="C11" s="240">
        <f>67424.71+45636.98+15.3</f>
        <v>113076.99</v>
      </c>
    </row>
    <row r="12" spans="1:3" x14ac:dyDescent="0.2">
      <c r="A12" t="s">
        <v>781</v>
      </c>
      <c r="B12" s="240">
        <f>159187.98</f>
        <v>159187.98000000001</v>
      </c>
      <c r="C12" s="240">
        <f>253.27+140720.15+33928.84</f>
        <v>174902.25999999998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13376057.58</v>
      </c>
      <c r="C13" s="231">
        <f>SUM(C10:C12)</f>
        <v>6243277.0100000016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5129857.83</v>
      </c>
      <c r="C18" s="229">
        <f>'DOE25'!G198+'DOE25'!G216+'DOE25'!G234+'DOE25'!G277+'DOE25'!G296+'DOE25'!G315</f>
        <v>1671174.9</v>
      </c>
    </row>
    <row r="19" spans="1:3" x14ac:dyDescent="0.2">
      <c r="A19" t="s">
        <v>779</v>
      </c>
      <c r="B19" s="240">
        <f>399698.89+124933.15+53608+246540.17+819053.23+112879+36902.13+325+152858.68+8233.79+561+300+22023.45+899.3+761.88+50826.05+28214.6+349843.7+255080.31+1178+0.01</f>
        <v>2664720.34</v>
      </c>
      <c r="C19" s="240">
        <f>313694.62+129811.13+379664.36+48787.22+6843.96+11706.88+1892.7+22.32+3580.85+137.33+414.6-172.44+24880.32+11576.18+31827.8+170349.53+151893.5+254.42</f>
        <v>1287165.2799999998</v>
      </c>
    </row>
    <row r="20" spans="1:3" x14ac:dyDescent="0.2">
      <c r="A20" t="s">
        <v>780</v>
      </c>
      <c r="B20" s="240">
        <f>1870073.68+91404.67+3478+145746.01+10875+886.34+27067.1+5377+9036.37+54823+16032.14</f>
        <v>2234799.31</v>
      </c>
      <c r="C20" s="240">
        <f>284489+21699.88+1012.06+2070.63+691.32+1370.46</f>
        <v>311333.35000000003</v>
      </c>
    </row>
    <row r="21" spans="1:3" x14ac:dyDescent="0.2">
      <c r="A21" t="s">
        <v>781</v>
      </c>
      <c r="B21" s="240">
        <f>35256+1700+102750+72150+18482.18</f>
        <v>230338.18</v>
      </c>
      <c r="C21" s="240">
        <f>46624.78+7140.99+308.87+17187.74+1413.89</f>
        <v>72676.27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5129857.83</v>
      </c>
      <c r="C22" s="231">
        <f>SUM(C19:C21)</f>
        <v>1671174.9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1329959.8999999999</v>
      </c>
      <c r="C27" s="234">
        <f>'DOE25'!G199+'DOE25'!G217+'DOE25'!G235+'DOE25'!G278+'DOE25'!G297+'DOE25'!G316</f>
        <v>625476.37</v>
      </c>
    </row>
    <row r="28" spans="1:3" x14ac:dyDescent="0.2">
      <c r="A28" t="s">
        <v>779</v>
      </c>
      <c r="B28" s="240">
        <f>34339.39+1165264.91+3731+300</f>
        <v>1203635.2999999998</v>
      </c>
      <c r="C28" s="240">
        <f>571863.36+782.74+22.67+2627.13</f>
        <v>575295.9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>
        <f>81897+37377.6+1600+5450</f>
        <v>126324.6</v>
      </c>
      <c r="C30" s="240">
        <f>22517.95+26956.3+289.1+417.12</f>
        <v>50180.47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1329959.8999999999</v>
      </c>
      <c r="C31" s="231">
        <f>SUM(C28:C30)</f>
        <v>625476.37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323211.08</v>
      </c>
      <c r="C36" s="235">
        <f>'DOE25'!G200+'DOE25'!G218+'DOE25'!G236+'DOE25'!G279+'DOE25'!G298+'DOE25'!G317</f>
        <v>77372.2</v>
      </c>
    </row>
    <row r="37" spans="1:3" x14ac:dyDescent="0.2">
      <c r="A37" t="s">
        <v>779</v>
      </c>
      <c r="B37" s="240">
        <f>28676</f>
        <v>28676</v>
      </c>
      <c r="C37" s="240">
        <v>5498.42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6012+18533.28+412.5+5111.26+99580+162586+300+2000.04</f>
        <v>294535.08</v>
      </c>
      <c r="C39" s="240">
        <f>960.42+46237.97+118.83+3084.64+75.98+569.22+20435.99+22.32+368.41</f>
        <v>71873.780000000013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323211.08</v>
      </c>
      <c r="C40" s="231">
        <f>SUM(C37:C39)</f>
        <v>77372.200000000012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zoomScale="110" zoomScaleNormal="110" workbookViewId="0">
      <pane ySplit="4" topLeftCell="A5" activePane="bottomLeft" state="frozen"/>
      <selection activeCell="F46" sqref="F46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Dover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29771928.699999999</v>
      </c>
      <c r="D5" s="20">
        <f>SUM('DOE25'!L197:L200)+SUM('DOE25'!L215:L218)+SUM('DOE25'!L233:L236)-F5-G5</f>
        <v>29552102.719999999</v>
      </c>
      <c r="E5" s="243"/>
      <c r="F5" s="255">
        <f>SUM('DOE25'!J197:J200)+SUM('DOE25'!J215:J218)+SUM('DOE25'!J233:J236)</f>
        <v>147139.13</v>
      </c>
      <c r="G5" s="53">
        <f>SUM('DOE25'!K197:K200)+SUM('DOE25'!K215:K218)+SUM('DOE25'!K233:K236)</f>
        <v>72686.850000000006</v>
      </c>
      <c r="H5" s="259"/>
    </row>
    <row r="6" spans="1:9" x14ac:dyDescent="0.2">
      <c r="A6" s="32">
        <v>2100</v>
      </c>
      <c r="B6" t="s">
        <v>801</v>
      </c>
      <c r="C6" s="245">
        <f t="shared" si="0"/>
        <v>2939586.0300000003</v>
      </c>
      <c r="D6" s="20">
        <f>'DOE25'!L202+'DOE25'!L220+'DOE25'!L238-F6-G6</f>
        <v>2939586.0300000003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977055.90999999992</v>
      </c>
      <c r="D7" s="20">
        <f>'DOE25'!L203+'DOE25'!L221+'DOE25'!L239-F7-G7</f>
        <v>911950.17999999993</v>
      </c>
      <c r="E7" s="243"/>
      <c r="F7" s="255">
        <f>'DOE25'!J203+'DOE25'!J221+'DOE25'!J239</f>
        <v>64396.729999999996</v>
      </c>
      <c r="G7" s="53">
        <f>'DOE25'!K203+'DOE25'!K221+'DOE25'!K239</f>
        <v>709</v>
      </c>
      <c r="H7" s="259"/>
    </row>
    <row r="8" spans="1:9" x14ac:dyDescent="0.2">
      <c r="A8" s="32">
        <v>2300</v>
      </c>
      <c r="B8" t="s">
        <v>802</v>
      </c>
      <c r="C8" s="245">
        <f t="shared" si="0"/>
        <v>666727.92999999993</v>
      </c>
      <c r="D8" s="243"/>
      <c r="E8" s="20">
        <f>'DOE25'!L204+'DOE25'!L222+'DOE25'!L240-F8-G8-D9-D11</f>
        <v>648381.87999999989</v>
      </c>
      <c r="F8" s="255">
        <f>'DOE25'!J204+'DOE25'!J222+'DOE25'!J240</f>
        <v>0</v>
      </c>
      <c r="G8" s="53">
        <f>'DOE25'!K204+'DOE25'!K222+'DOE25'!K240</f>
        <v>18346.05</v>
      </c>
      <c r="H8" s="259"/>
    </row>
    <row r="9" spans="1:9" x14ac:dyDescent="0.2">
      <c r="A9" s="32">
        <v>2310</v>
      </c>
      <c r="B9" t="s">
        <v>818</v>
      </c>
      <c r="C9" s="245">
        <f t="shared" si="0"/>
        <v>65838.97</v>
      </c>
      <c r="D9" s="244">
        <v>65838.97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22418.37</v>
      </c>
      <c r="D10" s="243"/>
      <c r="E10" s="244">
        <v>22418.37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243540.02</v>
      </c>
      <c r="D11" s="244">
        <v>243540.02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2103525.92</v>
      </c>
      <c r="D12" s="20">
        <f>'DOE25'!L205+'DOE25'!L223+'DOE25'!L241-F12-G12</f>
        <v>2091847.4599999997</v>
      </c>
      <c r="E12" s="243"/>
      <c r="F12" s="255">
        <f>'DOE25'!J205+'DOE25'!J223+'DOE25'!J241</f>
        <v>537.49</v>
      </c>
      <c r="G12" s="53">
        <f>'DOE25'!K205+'DOE25'!K223+'DOE25'!K241</f>
        <v>11140.97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3917512.05</v>
      </c>
      <c r="D14" s="20">
        <f>'DOE25'!L207+'DOE25'!L225+'DOE25'!L243-F14-G14</f>
        <v>3883154.8299999996</v>
      </c>
      <c r="E14" s="243"/>
      <c r="F14" s="255">
        <f>'DOE25'!J207+'DOE25'!J225+'DOE25'!J243</f>
        <v>34357.22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1878182.7399999998</v>
      </c>
      <c r="D15" s="20">
        <f>'DOE25'!L208+'DOE25'!L226+'DOE25'!L244-F15-G15</f>
        <v>1878182.7399999998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1261768.54</v>
      </c>
      <c r="D16" s="243"/>
      <c r="E16" s="20">
        <f>'DOE25'!L209+'DOE25'!L227+'DOE25'!L245-F16-G16</f>
        <v>1044503.8800000001</v>
      </c>
      <c r="F16" s="255">
        <f>'DOE25'!J209+'DOE25'!J227+'DOE25'!J245</f>
        <v>215668.41999999998</v>
      </c>
      <c r="G16" s="53">
        <f>'DOE25'!K209+'DOE25'!K227+'DOE25'!K245</f>
        <v>1596.24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203464.14</v>
      </c>
      <c r="D17" s="20">
        <f>'DOE25'!L251-F17-G17</f>
        <v>203464.14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3828013.49</v>
      </c>
      <c r="D25" s="243"/>
      <c r="E25" s="243"/>
      <c r="F25" s="258"/>
      <c r="G25" s="256"/>
      <c r="H25" s="257">
        <f>'DOE25'!L260+'DOE25'!L261+'DOE25'!L341+'DOE25'!L342</f>
        <v>3828013.49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1498457.12</v>
      </c>
      <c r="D29" s="20">
        <f>'DOE25'!L358+'DOE25'!L359+'DOE25'!L360-'DOE25'!I367-F29-G29</f>
        <v>1498457.12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3571801.6359999999</v>
      </c>
      <c r="D31" s="20">
        <f>'DOE25'!L290+'DOE25'!L309+'DOE25'!L328+'DOE25'!L333+'DOE25'!L334+'DOE25'!L335-F31-G31</f>
        <v>3364523.966</v>
      </c>
      <c r="E31" s="243"/>
      <c r="F31" s="255">
        <f>'DOE25'!J290+'DOE25'!J309+'DOE25'!J328+'DOE25'!J333+'DOE25'!J334+'DOE25'!J335</f>
        <v>89270.29</v>
      </c>
      <c r="G31" s="53">
        <f>'DOE25'!K290+'DOE25'!K309+'DOE25'!K328+'DOE25'!K333+'DOE25'!K334+'DOE25'!K335</f>
        <v>118007.38000000002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46632648.175999999</v>
      </c>
      <c r="E33" s="246">
        <f>SUM(E5:E31)</f>
        <v>1715304.13</v>
      </c>
      <c r="F33" s="246">
        <f>SUM(F5:F31)</f>
        <v>551369.28</v>
      </c>
      <c r="G33" s="246">
        <f>SUM(G5:G31)</f>
        <v>222486.49000000005</v>
      </c>
      <c r="H33" s="246">
        <f>SUM(H5:H31)</f>
        <v>3828013.49</v>
      </c>
    </row>
    <row r="35" spans="2:8" ht="12" thickBot="1" x14ac:dyDescent="0.25">
      <c r="B35" s="253" t="s">
        <v>847</v>
      </c>
      <c r="D35" s="254">
        <f>E33</f>
        <v>1715304.13</v>
      </c>
      <c r="E35" s="249"/>
    </row>
    <row r="36" spans="2:8" ht="12" thickTop="1" x14ac:dyDescent="0.2">
      <c r="B36" t="s">
        <v>815</v>
      </c>
      <c r="D36" s="20">
        <f>D33</f>
        <v>46632648.175999999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24" activePane="bottomLeft" state="frozen"/>
      <selection activeCell="F46" sqref="F46"/>
      <selection pane="bottomLeft" activeCell="I13" sqref="I1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Dover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376994.74000000005</v>
      </c>
      <c r="D8" s="95">
        <f>'DOE25'!G9</f>
        <v>43419.02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1064431.1099999999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48920.57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1210496.4099999999</v>
      </c>
      <c r="D13" s="95">
        <f>'DOE25'!G14</f>
        <v>12702.28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28963.99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5111592.8499999996</v>
      </c>
      <c r="D17" s="95">
        <f>'DOE25'!G18</f>
        <v>0</v>
      </c>
      <c r="E17" s="95">
        <f>'DOE25'!H18</f>
        <v>312910.64</v>
      </c>
      <c r="F17" s="95">
        <f>'DOE25'!I18</f>
        <v>0</v>
      </c>
      <c r="G17" s="95">
        <f>'DOE25'!J18</f>
        <v>1128201.46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6699084</v>
      </c>
      <c r="D18" s="41">
        <f>SUM(D8:D17)</f>
        <v>1198436.97</v>
      </c>
      <c r="E18" s="41">
        <f>SUM(E8:E17)</f>
        <v>312910.64</v>
      </c>
      <c r="F18" s="41">
        <f>SUM(F8:F17)</f>
        <v>0</v>
      </c>
      <c r="G18" s="41">
        <f>SUM(G8:G17)</f>
        <v>1128201.46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669220.25</v>
      </c>
      <c r="E21" s="95">
        <f>'DOE25'!H22</f>
        <v>0</v>
      </c>
      <c r="F21" s="95">
        <f>'DOE25'!I22</f>
        <v>0</v>
      </c>
      <c r="G21" s="95">
        <f>'DOE25'!J22</f>
        <v>17217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606.13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2834932.11</v>
      </c>
      <c r="D27" s="95">
        <f>'DOE25'!G28</f>
        <v>19.880000000000052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722007.98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3510</v>
      </c>
      <c r="D29" s="95">
        <f>'DOE25'!G30</f>
        <v>2763.18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69564.34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3630014.4299999997</v>
      </c>
      <c r="D31" s="41">
        <f>SUM(D21:D30)</f>
        <v>672609.44000000006</v>
      </c>
      <c r="E31" s="41">
        <f>SUM(E21:E30)</f>
        <v>0</v>
      </c>
      <c r="F31" s="41">
        <f>SUM(F21:F30)</f>
        <v>0</v>
      </c>
      <c r="G31" s="41">
        <f>SUM(G21:G30)</f>
        <v>17217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28963.99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401569.03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461380.49</v>
      </c>
      <c r="D44" s="95">
        <f>'DOE25'!G45</f>
        <v>95294.51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312910.64</v>
      </c>
      <c r="F47" s="95">
        <f>'DOE25'!I48</f>
        <v>0</v>
      </c>
      <c r="G47" s="95">
        <f>'DOE25'!J48</f>
        <v>1110984.46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2607689.08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3069069.5700000003</v>
      </c>
      <c r="D50" s="41">
        <f>SUM(D34:D49)</f>
        <v>525827.53</v>
      </c>
      <c r="E50" s="41">
        <f>SUM(E34:E49)</f>
        <v>312910.64</v>
      </c>
      <c r="F50" s="41">
        <f>SUM(F34:F49)</f>
        <v>0</v>
      </c>
      <c r="G50" s="41">
        <f>SUM(G34:G49)</f>
        <v>1110984.46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6699084</v>
      </c>
      <c r="D51" s="41">
        <f>D50+D31</f>
        <v>1198436.9700000002</v>
      </c>
      <c r="E51" s="41">
        <f>E50+E31</f>
        <v>312910.64</v>
      </c>
      <c r="F51" s="41">
        <f>F50+F31</f>
        <v>0</v>
      </c>
      <c r="G51" s="41">
        <f>G50+G31</f>
        <v>1128201.46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28833811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3998309.66</v>
      </c>
      <c r="D57" s="24" t="s">
        <v>289</v>
      </c>
      <c r="E57" s="95">
        <f>'DOE25'!H79</f>
        <v>643507.27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62634.520000000004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800110.83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29666.99</v>
      </c>
      <c r="D61" s="95">
        <f>SUM('DOE25'!G98:G110)</f>
        <v>2359.84</v>
      </c>
      <c r="E61" s="95">
        <f>SUM('DOE25'!H98:H110)</f>
        <v>224378.25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4090611.1700000004</v>
      </c>
      <c r="D62" s="130">
        <f>SUM(D57:D61)</f>
        <v>802470.66999999993</v>
      </c>
      <c r="E62" s="130">
        <f>SUM(E57:E61)</f>
        <v>867885.52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32924422.170000002</v>
      </c>
      <c r="D63" s="22">
        <f>D56+D62</f>
        <v>802470.66999999993</v>
      </c>
      <c r="E63" s="22">
        <f>E56+E62</f>
        <v>867885.52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7058518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6710193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13768711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675017.86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230961.83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228980.56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158678.32</v>
      </c>
      <c r="D77" s="95">
        <f>SUM('DOE25'!G131:G135)</f>
        <v>104544.87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1293638.57</v>
      </c>
      <c r="D78" s="130">
        <f>SUM(D72:D77)</f>
        <v>104544.87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15062349.57</v>
      </c>
      <c r="D81" s="130">
        <f>SUM(D79:D80)+D78+D70</f>
        <v>104544.87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2982.9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589954.62</v>
      </c>
      <c r="D88" s="95">
        <f>SUM('DOE25'!G153:G161)</f>
        <v>652893.04</v>
      </c>
      <c r="E88" s="95">
        <f>SUM('DOE25'!H153:H161)</f>
        <v>2822841.2899999996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592937.52</v>
      </c>
      <c r="D91" s="131">
        <f>SUM(D85:D90)</f>
        <v>652893.04</v>
      </c>
      <c r="E91" s="131">
        <f>SUM(E85:E90)</f>
        <v>2822841.2899999996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595438.47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407266</v>
      </c>
      <c r="F96" s="95">
        <f>'DOE25'!I179</f>
        <v>105000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407266</v>
      </c>
      <c r="F103" s="86">
        <f>SUM(F93:F102)</f>
        <v>700438.47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48579709.260000005</v>
      </c>
      <c r="D104" s="86">
        <f>D63+D81+D91+D103</f>
        <v>1559908.58</v>
      </c>
      <c r="E104" s="86">
        <f>E63+E81+E91+E103</f>
        <v>4097992.8099999996</v>
      </c>
      <c r="F104" s="86">
        <f>F63+F81+F91+F103</f>
        <v>700438.47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19409699.579999998</v>
      </c>
      <c r="D109" s="24" t="s">
        <v>289</v>
      </c>
      <c r="E109" s="95">
        <f>('DOE25'!L276)+('DOE25'!L295)+('DOE25'!L314)</f>
        <v>629028.1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7649563.9400000013</v>
      </c>
      <c r="D110" s="24" t="s">
        <v>289</v>
      </c>
      <c r="E110" s="95">
        <f>('DOE25'!L277)+('DOE25'!L296)+('DOE25'!L315)</f>
        <v>1377483.29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2144917.2999999998</v>
      </c>
      <c r="D111" s="24" t="s">
        <v>289</v>
      </c>
      <c r="E111" s="95">
        <f>('DOE25'!L278)+('DOE25'!L297)+('DOE25'!L316)</f>
        <v>67739.899999999994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567747.88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151996.85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203464.14</v>
      </c>
      <c r="D114" s="24" t="s">
        <v>289</v>
      </c>
      <c r="E114" s="95">
        <f>+ SUM('DOE25'!L333:L335)</f>
        <v>842199.23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29975392.84</v>
      </c>
      <c r="D115" s="86">
        <f>SUM(D109:D114)</f>
        <v>0</v>
      </c>
      <c r="E115" s="86">
        <f>SUM(E109:E114)</f>
        <v>3068447.37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2939586.0300000003</v>
      </c>
      <c r="D118" s="24" t="s">
        <v>289</v>
      </c>
      <c r="E118" s="95">
        <f>+('DOE25'!L281)+('DOE25'!L300)+('DOE25'!L319)</f>
        <v>140431.08000000002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977055.90999999992</v>
      </c>
      <c r="D119" s="24" t="s">
        <v>289</v>
      </c>
      <c r="E119" s="95">
        <f>+('DOE25'!L282)+('DOE25'!L301)+('DOE25'!L320)</f>
        <v>310021.40600000002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976106.91999999993</v>
      </c>
      <c r="D120" s="24" t="s">
        <v>289</v>
      </c>
      <c r="E120" s="95">
        <f>+('DOE25'!L283)+('DOE25'!L302)+('DOE25'!L321)</f>
        <v>157.37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2103525.92</v>
      </c>
      <c r="D121" s="24" t="s">
        <v>289</v>
      </c>
      <c r="E121" s="95">
        <f>+('DOE25'!L284)+('DOE25'!L303)+('DOE25'!L322)</f>
        <v>82047.97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3917512.05</v>
      </c>
      <c r="D123" s="24" t="s">
        <v>289</v>
      </c>
      <c r="E123" s="95">
        <f>+('DOE25'!L286)+('DOE25'!L305)+('DOE25'!L324)</f>
        <v>17830.800000000003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1878182.7399999998</v>
      </c>
      <c r="D124" s="24" t="s">
        <v>289</v>
      </c>
      <c r="E124" s="95">
        <f>+('DOE25'!L287)+('DOE25'!L306)+('DOE25'!L325)</f>
        <v>11152.11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1261768.54</v>
      </c>
      <c r="D125" s="24" t="s">
        <v>289</v>
      </c>
      <c r="E125" s="95">
        <f>+('DOE25'!L288)+('DOE25'!L307)+('DOE25'!L326)</f>
        <v>93710.38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1498457.12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14053738.109999999</v>
      </c>
      <c r="D128" s="86">
        <f>SUM(D118:D127)</f>
        <v>1498457.12</v>
      </c>
      <c r="E128" s="86">
        <f>SUM(E118:E127)</f>
        <v>655351.11600000004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595438.47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2378105.87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1449907.62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407266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105000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4340279.49</v>
      </c>
      <c r="D144" s="141">
        <f>SUM(D130:D143)</f>
        <v>0</v>
      </c>
      <c r="E144" s="141">
        <f>SUM(E130:E143)</f>
        <v>0</v>
      </c>
      <c r="F144" s="141">
        <f>SUM(F130:F143)</f>
        <v>595438.47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48369410.440000005</v>
      </c>
      <c r="D145" s="86">
        <f>(D115+D128+D144)</f>
        <v>1498457.12</v>
      </c>
      <c r="E145" s="86">
        <f>(E115+E128+E144)</f>
        <v>3723798.486</v>
      </c>
      <c r="F145" s="86">
        <f>(F115+F128+F144)</f>
        <v>595438.47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21700353.830000002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21700353.830000002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2378105.87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2378105.87</v>
      </c>
    </row>
    <row r="159" spans="1:9" x14ac:dyDescent="0.2">
      <c r="A159" s="22" t="s">
        <v>35</v>
      </c>
      <c r="B159" s="137">
        <f>'DOE25'!F498</f>
        <v>19322247.960000001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19322247.960000001</v>
      </c>
    </row>
    <row r="160" spans="1:9" x14ac:dyDescent="0.2">
      <c r="A160" s="22" t="s">
        <v>36</v>
      </c>
      <c r="B160" s="137">
        <f>'DOE25'!F499</f>
        <v>8844633.6500000004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8844633.6500000004</v>
      </c>
    </row>
    <row r="161" spans="1:7" x14ac:dyDescent="0.2">
      <c r="A161" s="22" t="s">
        <v>37</v>
      </c>
      <c r="B161" s="137">
        <f>'DOE25'!F500</f>
        <v>28166881.609999999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28166881.609999999</v>
      </c>
    </row>
    <row r="162" spans="1:7" x14ac:dyDescent="0.2">
      <c r="A162" s="22" t="s">
        <v>38</v>
      </c>
      <c r="B162" s="137">
        <f>'DOE25'!F501</f>
        <v>2245585.81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2245585.81</v>
      </c>
    </row>
    <row r="163" spans="1:7" x14ac:dyDescent="0.2">
      <c r="A163" s="22" t="s">
        <v>39</v>
      </c>
      <c r="B163" s="137">
        <f>'DOE25'!F502</f>
        <v>1476992.05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1476992.05</v>
      </c>
    </row>
    <row r="164" spans="1:7" x14ac:dyDescent="0.2">
      <c r="A164" s="22" t="s">
        <v>246</v>
      </c>
      <c r="B164" s="137">
        <f>'DOE25'!F503</f>
        <v>3722577.8600000003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3722577.8600000003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Dover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10610</v>
      </c>
    </row>
    <row r="5" spans="1:4" x14ac:dyDescent="0.2">
      <c r="B5" t="s">
        <v>704</v>
      </c>
      <c r="C5" s="179">
        <f>IF('DOE25'!G665+'DOE25'!G670=0,0,ROUND('DOE25'!G672,0))</f>
        <v>9455</v>
      </c>
    </row>
    <row r="6" spans="1:4" x14ac:dyDescent="0.2">
      <c r="B6" t="s">
        <v>62</v>
      </c>
      <c r="C6" s="179">
        <f>IF('DOE25'!H665+'DOE25'!H670=0,0,ROUND('DOE25'!H672,0))</f>
        <v>11920</v>
      </c>
    </row>
    <row r="7" spans="1:4" x14ac:dyDescent="0.2">
      <c r="B7" t="s">
        <v>705</v>
      </c>
      <c r="C7" s="179">
        <f>IF('DOE25'!I665+'DOE25'!I670=0,0,ROUND('DOE25'!I672,0))</f>
        <v>10704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20038728</v>
      </c>
      <c r="D10" s="182">
        <f>ROUND((C10/$C$28)*100,1)</f>
        <v>40.200000000000003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9027047</v>
      </c>
      <c r="D11" s="182">
        <f>ROUND((C11/$C$28)*100,1)</f>
        <v>18.100000000000001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2212657</v>
      </c>
      <c r="D12" s="182">
        <f>ROUND((C12/$C$28)*100,1)</f>
        <v>4.4000000000000004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567748</v>
      </c>
      <c r="D13" s="182">
        <f>ROUND((C13/$C$28)*100,1)</f>
        <v>1.1000000000000001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3080017</v>
      </c>
      <c r="D15" s="182">
        <f t="shared" ref="D15:D27" si="0">ROUND((C15/$C$28)*100,1)</f>
        <v>6.2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1287077</v>
      </c>
      <c r="D16" s="182">
        <f t="shared" si="0"/>
        <v>2.6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2331743</v>
      </c>
      <c r="D17" s="182">
        <f t="shared" si="0"/>
        <v>4.7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2185574</v>
      </c>
      <c r="D18" s="182">
        <f t="shared" si="0"/>
        <v>4.4000000000000004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3935343</v>
      </c>
      <c r="D20" s="182">
        <f t="shared" si="0"/>
        <v>7.9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1889335</v>
      </c>
      <c r="D21" s="182">
        <f t="shared" si="0"/>
        <v>3.8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151997</v>
      </c>
      <c r="D23" s="182">
        <f t="shared" si="0"/>
        <v>0.3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1045663</v>
      </c>
      <c r="D24" s="182">
        <f t="shared" si="0"/>
        <v>2.1</v>
      </c>
    </row>
    <row r="25" spans="1:4" x14ac:dyDescent="0.2">
      <c r="A25">
        <v>5120</v>
      </c>
      <c r="B25" t="s">
        <v>720</v>
      </c>
      <c r="C25" s="179">
        <f>ROUND('DOE25'!L261+'DOE25'!L342,0)</f>
        <v>1449908</v>
      </c>
      <c r="D25" s="182">
        <f t="shared" si="0"/>
        <v>2.9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695986.33000000007</v>
      </c>
      <c r="D27" s="182">
        <f t="shared" si="0"/>
        <v>1.4</v>
      </c>
    </row>
    <row r="28" spans="1:4" x14ac:dyDescent="0.2">
      <c r="B28" s="187" t="s">
        <v>723</v>
      </c>
      <c r="C28" s="180">
        <f>SUM(C10:C27)</f>
        <v>49898823.329999998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595438</v>
      </c>
    </row>
    <row r="30" spans="1:4" x14ac:dyDescent="0.2">
      <c r="B30" s="187" t="s">
        <v>729</v>
      </c>
      <c r="C30" s="180">
        <f>SUM(C28:C29)</f>
        <v>50494261.329999998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2378106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28833811</v>
      </c>
      <c r="D35" s="182">
        <f t="shared" ref="D35:D40" si="1">ROUND((C35/$C$41)*100,1)</f>
        <v>54.4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4958496.6899999976</v>
      </c>
      <c r="D36" s="182">
        <f t="shared" si="1"/>
        <v>9.4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13768711</v>
      </c>
      <c r="D37" s="182">
        <f t="shared" si="1"/>
        <v>26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1398183</v>
      </c>
      <c r="D38" s="182">
        <f t="shared" si="1"/>
        <v>2.6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4068672</v>
      </c>
      <c r="D39" s="182">
        <f t="shared" si="1"/>
        <v>7.7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53027873.689999998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595438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Dover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2015-10-22T14:17:56Z</cp:lastPrinted>
  <dcterms:created xsi:type="dcterms:W3CDTF">1997-12-04T19:04:30Z</dcterms:created>
  <dcterms:modified xsi:type="dcterms:W3CDTF">2015-11-25T15:53:55Z</dcterms:modified>
</cp:coreProperties>
</file>