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765" yWindow="0" windowWidth="25965" windowHeight="15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1" l="1"/>
  <c r="F57" i="1" l="1"/>
  <c r="B12" i="12"/>
  <c r="I498" i="1"/>
  <c r="H498" i="1"/>
  <c r="G498" i="1"/>
  <c r="F498" i="1"/>
  <c r="F368" i="1"/>
  <c r="F367" i="1"/>
  <c r="G97" i="1"/>
  <c r="L543" i="1"/>
  <c r="L542" i="1"/>
  <c r="J550" i="1" s="1"/>
  <c r="K544" i="1"/>
  <c r="L538" i="1"/>
  <c r="I551" i="1" s="1"/>
  <c r="K539" i="1"/>
  <c r="L533" i="1"/>
  <c r="L531" i="1"/>
  <c r="L528" i="1"/>
  <c r="G551" i="1" s="1"/>
  <c r="K529" i="1"/>
  <c r="L523" i="1"/>
  <c r="L522" i="1"/>
  <c r="F550" i="1" s="1"/>
  <c r="K524" i="1"/>
  <c r="J598" i="1"/>
  <c r="F110" i="1"/>
  <c r="K328" i="1"/>
  <c r="L317" i="1"/>
  <c r="J328" i="1"/>
  <c r="J338" i="1" s="1"/>
  <c r="J352" i="1" s="1"/>
  <c r="L314" i="1"/>
  <c r="K290" i="1"/>
  <c r="G290" i="1"/>
  <c r="L276" i="1"/>
  <c r="E109" i="2" s="1"/>
  <c r="L360" i="1"/>
  <c r="L245" i="1"/>
  <c r="L244" i="1"/>
  <c r="L242" i="1"/>
  <c r="L241" i="1"/>
  <c r="L240" i="1"/>
  <c r="L239" i="1"/>
  <c r="L238" i="1"/>
  <c r="L235" i="1"/>
  <c r="K247" i="1"/>
  <c r="G16" i="13"/>
  <c r="L209" i="1"/>
  <c r="C125" i="2" s="1"/>
  <c r="L208" i="1"/>
  <c r="F662" i="1" s="1"/>
  <c r="G14" i="13"/>
  <c r="L207" i="1"/>
  <c r="L206" i="1"/>
  <c r="L205" i="1"/>
  <c r="C121" i="2" s="1"/>
  <c r="L204" i="1"/>
  <c r="E8" i="13" s="1"/>
  <c r="G7" i="13"/>
  <c r="L202" i="1"/>
  <c r="C36" i="12"/>
  <c r="L199" i="1"/>
  <c r="K211" i="1"/>
  <c r="K257" i="1" s="1"/>
  <c r="K271" i="1" s="1"/>
  <c r="F127" i="1"/>
  <c r="C76" i="2" s="1"/>
  <c r="F128" i="1"/>
  <c r="F68" i="1"/>
  <c r="F63" i="1"/>
  <c r="F14" i="1"/>
  <c r="C13" i="2" s="1"/>
  <c r="F24" i="1"/>
  <c r="F9" i="1"/>
  <c r="C45" i="2"/>
  <c r="G51" i="1"/>
  <c r="F51" i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/>
  <c r="G44" i="2" s="1"/>
  <c r="I458" i="1"/>
  <c r="J39" i="1" s="1"/>
  <c r="G38" i="2"/>
  <c r="C68" i="2"/>
  <c r="B2" i="13"/>
  <c r="F8" i="13"/>
  <c r="G8" i="13"/>
  <c r="L222" i="1"/>
  <c r="D39" i="13"/>
  <c r="F13" i="13"/>
  <c r="G13" i="13"/>
  <c r="L224" i="1"/>
  <c r="F16" i="13"/>
  <c r="L227" i="1"/>
  <c r="F5" i="13"/>
  <c r="G5" i="13"/>
  <c r="L215" i="1"/>
  <c r="L216" i="1"/>
  <c r="L217" i="1"/>
  <c r="L218" i="1"/>
  <c r="L236" i="1"/>
  <c r="F6" i="13"/>
  <c r="G6" i="13"/>
  <c r="L220" i="1"/>
  <c r="F7" i="13"/>
  <c r="L203" i="1"/>
  <c r="L221" i="1"/>
  <c r="F12" i="13"/>
  <c r="G12" i="13"/>
  <c r="L223" i="1"/>
  <c r="F14" i="13"/>
  <c r="L225" i="1"/>
  <c r="L243" i="1"/>
  <c r="F15" i="13"/>
  <c r="G15" i="13"/>
  <c r="L226" i="1"/>
  <c r="G662" i="1" s="1"/>
  <c r="F17" i="13"/>
  <c r="G17" i="13"/>
  <c r="L251" i="1"/>
  <c r="F18" i="13"/>
  <c r="G18" i="13"/>
  <c r="L252" i="1"/>
  <c r="F19" i="13"/>
  <c r="G19" i="13"/>
  <c r="L253" i="1"/>
  <c r="F29" i="13"/>
  <c r="G29" i="13"/>
  <c r="L359" i="1"/>
  <c r="I367" i="1"/>
  <c r="I369" i="1" s="1"/>
  <c r="H634" i="1" s="1"/>
  <c r="J290" i="1"/>
  <c r="J309" i="1"/>
  <c r="K309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5" i="1"/>
  <c r="L316" i="1"/>
  <c r="L319" i="1"/>
  <c r="L320" i="1"/>
  <c r="L321" i="1"/>
  <c r="L322" i="1"/>
  <c r="L323" i="1"/>
  <c r="L324" i="1"/>
  <c r="L326" i="1"/>
  <c r="L333" i="1"/>
  <c r="L334" i="1"/>
  <c r="E114" i="2" s="1"/>
  <c r="E115" i="2" s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B39" i="12" s="1"/>
  <c r="B40" i="12"/>
  <c r="B27" i="12"/>
  <c r="C27" i="12"/>
  <c r="B31" i="12"/>
  <c r="A31" i="12" s="1"/>
  <c r="C31" i="12"/>
  <c r="B9" i="12"/>
  <c r="C9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/>
  <c r="G59" i="2"/>
  <c r="G61" i="2"/>
  <c r="F2" i="11"/>
  <c r="L613" i="1"/>
  <c r="H663" i="1" s="1"/>
  <c r="L612" i="1"/>
  <c r="G663" i="1" s="1"/>
  <c r="I663" i="1" s="1"/>
  <c r="L611" i="1"/>
  <c r="F663" i="1" s="1"/>
  <c r="C40" i="10"/>
  <c r="F60" i="1"/>
  <c r="G60" i="1"/>
  <c r="H60" i="1"/>
  <c r="I60" i="1"/>
  <c r="F79" i="1"/>
  <c r="F94" i="1"/>
  <c r="F111" i="1"/>
  <c r="G111" i="1"/>
  <c r="H79" i="1"/>
  <c r="E57" i="2" s="1"/>
  <c r="H94" i="1"/>
  <c r="H111" i="1"/>
  <c r="I111" i="1"/>
  <c r="I112" i="1"/>
  <c r="J111" i="1"/>
  <c r="J112" i="1"/>
  <c r="F121" i="1"/>
  <c r="F136" i="1"/>
  <c r="F140" i="1" s="1"/>
  <c r="G121" i="1"/>
  <c r="G136" i="1"/>
  <c r="H121" i="1"/>
  <c r="H136" i="1"/>
  <c r="I121" i="1"/>
  <c r="I136" i="1"/>
  <c r="J121" i="1"/>
  <c r="J136" i="1"/>
  <c r="J140" i="1" s="1"/>
  <c r="F147" i="1"/>
  <c r="F162" i="1"/>
  <c r="G147" i="1"/>
  <c r="G162" i="1"/>
  <c r="H147" i="1"/>
  <c r="H162" i="1"/>
  <c r="I147" i="1"/>
  <c r="I162" i="1"/>
  <c r="L250" i="1"/>
  <c r="C113" i="2" s="1"/>
  <c r="L332" i="1"/>
  <c r="L254" i="1"/>
  <c r="C25" i="10"/>
  <c r="L268" i="1"/>
  <c r="L269" i="1"/>
  <c r="L349" i="1"/>
  <c r="L350" i="1"/>
  <c r="I665" i="1"/>
  <c r="I670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E137" i="2" s="1"/>
  <c r="L347" i="1"/>
  <c r="K351" i="1"/>
  <c r="F551" i="1"/>
  <c r="H549" i="1"/>
  <c r="H551" i="1"/>
  <c r="J551" i="1"/>
  <c r="E132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C10" i="2"/>
  <c r="C11" i="2"/>
  <c r="C18" i="2" s="1"/>
  <c r="D11" i="2"/>
  <c r="E11" i="2"/>
  <c r="F11" i="2"/>
  <c r="I441" i="1"/>
  <c r="J12" i="1" s="1"/>
  <c r="G11" i="2" s="1"/>
  <c r="C12" i="2"/>
  <c r="D12" i="2"/>
  <c r="E12" i="2"/>
  <c r="F12" i="2"/>
  <c r="I442" i="1"/>
  <c r="J13" i="1"/>
  <c r="G12" i="2" s="1"/>
  <c r="D13" i="2"/>
  <c r="E13" i="2"/>
  <c r="E18" i="2" s="1"/>
  <c r="F13" i="2"/>
  <c r="I443" i="1"/>
  <c r="J14" i="1" s="1"/>
  <c r="G13" i="2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D31" i="2" s="1"/>
  <c r="D51" i="2" s="1"/>
  <c r="E21" i="2"/>
  <c r="F21" i="2"/>
  <c r="I448" i="1"/>
  <c r="J22" i="1"/>
  <c r="G21" i="2" s="1"/>
  <c r="C22" i="2"/>
  <c r="D22" i="2"/>
  <c r="E22" i="2"/>
  <c r="F22" i="2"/>
  <c r="F31" i="2" s="1"/>
  <c r="F51" i="2" s="1"/>
  <c r="I449" i="1"/>
  <c r="J23" i="1" s="1"/>
  <c r="C23" i="2"/>
  <c r="D23" i="2"/>
  <c r="E23" i="2"/>
  <c r="F23" i="2"/>
  <c r="I450" i="1"/>
  <c r="J24" i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I457" i="1"/>
  <c r="J37" i="1" s="1"/>
  <c r="I459" i="1"/>
  <c r="J48" i="1" s="1"/>
  <c r="G47" i="2" s="1"/>
  <c r="C49" i="2"/>
  <c r="C50" i="2" s="1"/>
  <c r="C51" i="2" s="1"/>
  <c r="C56" i="2"/>
  <c r="E56" i="2"/>
  <c r="F56" i="2"/>
  <c r="C57" i="2"/>
  <c r="E58" i="2"/>
  <c r="C59" i="2"/>
  <c r="D59" i="2"/>
  <c r="E59" i="2"/>
  <c r="F59" i="2"/>
  <c r="D60" i="2"/>
  <c r="D62" i="2" s="1"/>
  <c r="C61" i="2"/>
  <c r="D61" i="2"/>
  <c r="E61" i="2"/>
  <c r="F61" i="2"/>
  <c r="C66" i="2"/>
  <c r="C67" i="2"/>
  <c r="C70" i="2" s="1"/>
  <c r="C69" i="2"/>
  <c r="D69" i="2"/>
  <c r="D70" i="2" s="1"/>
  <c r="D81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E76" i="2"/>
  <c r="F76" i="2"/>
  <c r="C77" i="2"/>
  <c r="D77" i="2"/>
  <c r="D78" i="2" s="1"/>
  <c r="E77" i="2"/>
  <c r="F77" i="2"/>
  <c r="G77" i="2"/>
  <c r="G78" i="2" s="1"/>
  <c r="G81" i="2" s="1"/>
  <c r="G104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D103" i="2" s="1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E112" i="2"/>
  <c r="E113" i="2"/>
  <c r="D115" i="2"/>
  <c r="F115" i="2"/>
  <c r="G115" i="2"/>
  <c r="E118" i="2"/>
  <c r="E119" i="2"/>
  <c r="E120" i="2"/>
  <c r="E121" i="2"/>
  <c r="E122" i="2"/>
  <c r="E123" i="2"/>
  <c r="E125" i="2"/>
  <c r="F128" i="2"/>
  <c r="G128" i="2"/>
  <c r="C130" i="2"/>
  <c r="E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/>
  <c r="L265" i="1"/>
  <c r="C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G156" i="2" s="1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G160" i="2" s="1"/>
  <c r="F160" i="2"/>
  <c r="G500" i="1"/>
  <c r="C161" i="2" s="1"/>
  <c r="H500" i="1"/>
  <c r="D161" i="2" s="1"/>
  <c r="I500" i="1"/>
  <c r="E161" i="2" s="1"/>
  <c r="J500" i="1"/>
  <c r="F161" i="2" s="1"/>
  <c r="B162" i="2"/>
  <c r="G162" i="2" s="1"/>
  <c r="C162" i="2"/>
  <c r="D162" i="2"/>
  <c r="E162" i="2"/>
  <c r="F162" i="2"/>
  <c r="B163" i="2"/>
  <c r="C163" i="2"/>
  <c r="D163" i="2"/>
  <c r="E163" i="2"/>
  <c r="G163" i="2" s="1"/>
  <c r="F163" i="2"/>
  <c r="F503" i="1"/>
  <c r="B164" i="2" s="1"/>
  <c r="G503" i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H617" i="1" s="1"/>
  <c r="G32" i="1"/>
  <c r="H32" i="1"/>
  <c r="I32" i="1"/>
  <c r="G52" i="1"/>
  <c r="H618" i="1" s="1"/>
  <c r="H51" i="1"/>
  <c r="H52" i="1" s="1"/>
  <c r="H619" i="1" s="1"/>
  <c r="I51" i="1"/>
  <c r="I52" i="1"/>
  <c r="H620" i="1" s="1"/>
  <c r="F177" i="1"/>
  <c r="I177" i="1"/>
  <c r="F183" i="1"/>
  <c r="G183" i="1"/>
  <c r="H183" i="1"/>
  <c r="I183" i="1"/>
  <c r="J183" i="1"/>
  <c r="F188" i="1"/>
  <c r="G188" i="1"/>
  <c r="H188" i="1"/>
  <c r="H192" i="1" s="1"/>
  <c r="I188" i="1"/>
  <c r="F211" i="1"/>
  <c r="H211" i="1"/>
  <c r="J211" i="1"/>
  <c r="F229" i="1"/>
  <c r="G229" i="1"/>
  <c r="H229" i="1"/>
  <c r="I229" i="1"/>
  <c r="J229" i="1"/>
  <c r="K229" i="1"/>
  <c r="F247" i="1"/>
  <c r="H247" i="1"/>
  <c r="H257" i="1" s="1"/>
  <c r="H271" i="1" s="1"/>
  <c r="J247" i="1"/>
  <c r="F256" i="1"/>
  <c r="G256" i="1"/>
  <c r="H256" i="1"/>
  <c r="I256" i="1"/>
  <c r="J256" i="1"/>
  <c r="J257" i="1" s="1"/>
  <c r="K256" i="1"/>
  <c r="L270" i="1"/>
  <c r="F290" i="1"/>
  <c r="H290" i="1"/>
  <c r="I290" i="1"/>
  <c r="F309" i="1"/>
  <c r="G309" i="1"/>
  <c r="H309" i="1"/>
  <c r="I309" i="1"/>
  <c r="H328" i="1"/>
  <c r="I328" i="1"/>
  <c r="F337" i="1"/>
  <c r="G337" i="1"/>
  <c r="H337" i="1"/>
  <c r="I337" i="1"/>
  <c r="J337" i="1"/>
  <c r="K337" i="1"/>
  <c r="F362" i="1"/>
  <c r="H362" i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J434" i="1" s="1"/>
  <c r="L429" i="1"/>
  <c r="L430" i="1"/>
  <c r="L431" i="1"/>
  <c r="L432" i="1"/>
  <c r="F433" i="1"/>
  <c r="G433" i="1"/>
  <c r="H433" i="1"/>
  <c r="I433" i="1"/>
  <c r="J433" i="1"/>
  <c r="F446" i="1"/>
  <c r="G446" i="1"/>
  <c r="H446" i="1"/>
  <c r="G641" i="1" s="1"/>
  <c r="F452" i="1"/>
  <c r="G452" i="1"/>
  <c r="H452" i="1"/>
  <c r="I452" i="1"/>
  <c r="F460" i="1"/>
  <c r="G460" i="1"/>
  <c r="H460" i="1"/>
  <c r="F461" i="1"/>
  <c r="G461" i="1"/>
  <c r="H461" i="1"/>
  <c r="H641" i="1" s="1"/>
  <c r="J641" i="1" s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9" i="1"/>
  <c r="K501" i="1"/>
  <c r="K502" i="1"/>
  <c r="F517" i="1"/>
  <c r="G517" i="1"/>
  <c r="H517" i="1"/>
  <c r="I517" i="1"/>
  <c r="F524" i="1"/>
  <c r="H524" i="1"/>
  <c r="I524" i="1"/>
  <c r="J524" i="1"/>
  <c r="F529" i="1"/>
  <c r="F545" i="1" s="1"/>
  <c r="H529" i="1"/>
  <c r="J529" i="1"/>
  <c r="J545" i="1" s="1"/>
  <c r="F534" i="1"/>
  <c r="G534" i="1"/>
  <c r="H534" i="1"/>
  <c r="J534" i="1"/>
  <c r="K534" i="1"/>
  <c r="F539" i="1"/>
  <c r="H539" i="1"/>
  <c r="J539" i="1"/>
  <c r="F544" i="1"/>
  <c r="H544" i="1"/>
  <c r="I544" i="1"/>
  <c r="J544" i="1"/>
  <c r="L557" i="1"/>
  <c r="L560" i="1" s="1"/>
  <c r="L571" i="1" s="1"/>
  <c r="L558" i="1"/>
  <c r="L559" i="1"/>
  <c r="F560" i="1"/>
  <c r="G560" i="1"/>
  <c r="H560" i="1"/>
  <c r="I560" i="1"/>
  <c r="J560" i="1"/>
  <c r="K560" i="1"/>
  <c r="L562" i="1"/>
  <c r="L563" i="1"/>
  <c r="L564" i="1"/>
  <c r="F565" i="1"/>
  <c r="F571" i="1" s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J571" i="1" s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5" i="1"/>
  <c r="K596" i="1"/>
  <c r="K597" i="1"/>
  <c r="I598" i="1"/>
  <c r="H650" i="1"/>
  <c r="H651" i="1"/>
  <c r="J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J620" i="1" s="1"/>
  <c r="G622" i="1"/>
  <c r="G623" i="1"/>
  <c r="G625" i="1"/>
  <c r="J625" i="1" s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J639" i="1" s="1"/>
  <c r="G640" i="1"/>
  <c r="J640" i="1" s="1"/>
  <c r="H640" i="1"/>
  <c r="G643" i="1"/>
  <c r="H643" i="1"/>
  <c r="G644" i="1"/>
  <c r="J644" i="1" s="1"/>
  <c r="H644" i="1"/>
  <c r="H647" i="1"/>
  <c r="G649" i="1"/>
  <c r="G650" i="1"/>
  <c r="G651" i="1"/>
  <c r="G652" i="1"/>
  <c r="J652" i="1" s="1"/>
  <c r="H652" i="1"/>
  <c r="G653" i="1"/>
  <c r="J653" i="1" s="1"/>
  <c r="H653" i="1"/>
  <c r="G654" i="1"/>
  <c r="H654" i="1"/>
  <c r="H655" i="1"/>
  <c r="J655" i="1" s="1"/>
  <c r="F192" i="1"/>
  <c r="L256" i="1"/>
  <c r="C26" i="10"/>
  <c r="L290" i="1"/>
  <c r="D12" i="13"/>
  <c r="C12" i="13"/>
  <c r="D18" i="13"/>
  <c r="C18" i="13"/>
  <c r="D15" i="13"/>
  <c r="C15" i="13" s="1"/>
  <c r="D18" i="2"/>
  <c r="D6" i="13"/>
  <c r="C6" i="13"/>
  <c r="C8" i="13"/>
  <c r="C91" i="2"/>
  <c r="F78" i="2"/>
  <c r="F81" i="2" s="1"/>
  <c r="C78" i="2"/>
  <c r="C81" i="2" s="1"/>
  <c r="D50" i="2"/>
  <c r="G157" i="2"/>
  <c r="F18" i="2"/>
  <c r="E103" i="2"/>
  <c r="E62" i="2"/>
  <c r="E63" i="2" s="1"/>
  <c r="E104" i="2" s="1"/>
  <c r="E31" i="2"/>
  <c r="G62" i="2"/>
  <c r="D19" i="13"/>
  <c r="C19" i="13" s="1"/>
  <c r="D14" i="13"/>
  <c r="C14" i="13"/>
  <c r="E13" i="13"/>
  <c r="C13" i="13" s="1"/>
  <c r="J617" i="1"/>
  <c r="E78" i="2"/>
  <c r="E81" i="2"/>
  <c r="H112" i="1"/>
  <c r="K605" i="1"/>
  <c r="G648" i="1" s="1"/>
  <c r="K571" i="1"/>
  <c r="L433" i="1"/>
  <c r="I169" i="1"/>
  <c r="H169" i="1"/>
  <c r="H193" i="1" s="1"/>
  <c r="G629" i="1" s="1"/>
  <c r="J629" i="1" s="1"/>
  <c r="J643" i="1"/>
  <c r="J476" i="1"/>
  <c r="H626" i="1" s="1"/>
  <c r="H476" i="1"/>
  <c r="H624" i="1" s="1"/>
  <c r="F476" i="1"/>
  <c r="H622" i="1"/>
  <c r="I476" i="1"/>
  <c r="H625" i="1" s="1"/>
  <c r="G476" i="1"/>
  <c r="H623" i="1" s="1"/>
  <c r="J623" i="1" s="1"/>
  <c r="F169" i="1"/>
  <c r="C39" i="10" s="1"/>
  <c r="G22" i="2"/>
  <c r="K545" i="1"/>
  <c r="H140" i="1"/>
  <c r="L393" i="1"/>
  <c r="F22" i="13"/>
  <c r="H25" i="13"/>
  <c r="H33" i="13" s="1"/>
  <c r="H571" i="1"/>
  <c r="H338" i="1"/>
  <c r="H352" i="1"/>
  <c r="G192" i="1"/>
  <c r="C35" i="10"/>
  <c r="L309" i="1"/>
  <c r="E16" i="13"/>
  <c r="C16" i="13" s="1"/>
  <c r="E33" i="13"/>
  <c r="D35" i="13" s="1"/>
  <c r="L570" i="1"/>
  <c r="I571" i="1"/>
  <c r="L565" i="1"/>
  <c r="H545" i="1"/>
  <c r="K551" i="1"/>
  <c r="C22" i="13"/>
  <c r="C138" i="2"/>
  <c r="L337" i="1"/>
  <c r="F62" i="2"/>
  <c r="F63" i="2" s="1"/>
  <c r="C23" i="10"/>
  <c r="G159" i="2"/>
  <c r="G158" i="2"/>
  <c r="G103" i="2"/>
  <c r="C103" i="2"/>
  <c r="F91" i="2"/>
  <c r="E50" i="2"/>
  <c r="C31" i="2"/>
  <c r="F50" i="2"/>
  <c r="I338" i="1"/>
  <c r="I352" i="1"/>
  <c r="L407" i="1"/>
  <c r="C140" i="2"/>
  <c r="I192" i="1"/>
  <c r="E91" i="2"/>
  <c r="J654" i="1"/>
  <c r="F434" i="1"/>
  <c r="K434" i="1"/>
  <c r="G134" i="2"/>
  <c r="G144" i="2" s="1"/>
  <c r="G145" i="2"/>
  <c r="F31" i="13"/>
  <c r="G169" i="1"/>
  <c r="G140" i="1"/>
  <c r="C38" i="10" s="1"/>
  <c r="G63" i="2"/>
  <c r="J618" i="1"/>
  <c r="C5" i="10"/>
  <c r="G16" i="2"/>
  <c r="H434" i="1"/>
  <c r="J619" i="1"/>
  <c r="I140" i="1"/>
  <c r="I193" i="1"/>
  <c r="G630" i="1" s="1"/>
  <c r="J630" i="1"/>
  <c r="G571" i="1"/>
  <c r="G434" i="1"/>
  <c r="J622" i="1" l="1"/>
  <c r="J271" i="1"/>
  <c r="H648" i="1"/>
  <c r="G31" i="2"/>
  <c r="J648" i="1"/>
  <c r="F130" i="2"/>
  <c r="F144" i="2" s="1"/>
  <c r="F145" i="2" s="1"/>
  <c r="L382" i="1"/>
  <c r="G636" i="1" s="1"/>
  <c r="J636" i="1" s="1"/>
  <c r="C32" i="10"/>
  <c r="E131" i="2"/>
  <c r="E144" i="2" s="1"/>
  <c r="C119" i="2"/>
  <c r="C16" i="10"/>
  <c r="C24" i="10"/>
  <c r="G624" i="1"/>
  <c r="J624" i="1" s="1"/>
  <c r="C164" i="2"/>
  <c r="K503" i="1"/>
  <c r="J43" i="1"/>
  <c r="G42" i="2" s="1"/>
  <c r="I460" i="1"/>
  <c r="I461" i="1" s="1"/>
  <c r="H642" i="1" s="1"/>
  <c r="L401" i="1"/>
  <c r="C38" i="12"/>
  <c r="C37" i="12"/>
  <c r="C40" i="12" s="1"/>
  <c r="A40" i="12" s="1"/>
  <c r="K338" i="1"/>
  <c r="K352" i="1" s="1"/>
  <c r="G31" i="13"/>
  <c r="G33" i="13" s="1"/>
  <c r="B13" i="12"/>
  <c r="C12" i="12" s="1"/>
  <c r="C58" i="2"/>
  <c r="F112" i="1"/>
  <c r="F193" i="1" s="1"/>
  <c r="G627" i="1" s="1"/>
  <c r="J627" i="1" s="1"/>
  <c r="G112" i="1"/>
  <c r="G193" i="1" s="1"/>
  <c r="G628" i="1" s="1"/>
  <c r="J628" i="1" s="1"/>
  <c r="D56" i="2"/>
  <c r="D63" i="2" s="1"/>
  <c r="G36" i="2"/>
  <c r="G50" i="2" s="1"/>
  <c r="D7" i="13"/>
  <c r="C7" i="13" s="1"/>
  <c r="J650" i="1"/>
  <c r="G164" i="2"/>
  <c r="F103" i="2"/>
  <c r="F104" i="2" s="1"/>
  <c r="D91" i="2"/>
  <c r="C39" i="12"/>
  <c r="J32" i="1"/>
  <c r="E51" i="2"/>
  <c r="C25" i="13"/>
  <c r="C29" i="10"/>
  <c r="L351" i="1"/>
  <c r="I434" i="1"/>
  <c r="L419" i="1"/>
  <c r="L434" i="1" s="1"/>
  <c r="G638" i="1" s="1"/>
  <c r="J638" i="1" s="1"/>
  <c r="C114" i="2"/>
  <c r="D17" i="13"/>
  <c r="C17" i="13" s="1"/>
  <c r="F33" i="13"/>
  <c r="G362" i="1"/>
  <c r="F257" i="1"/>
  <c r="F271" i="1" s="1"/>
  <c r="G645" i="1"/>
  <c r="J645" i="1" s="1"/>
  <c r="J192" i="1"/>
  <c r="J193" i="1" s="1"/>
  <c r="C62" i="2"/>
  <c r="C63" i="2" s="1"/>
  <c r="C104" i="2" s="1"/>
  <c r="J10" i="1"/>
  <c r="I446" i="1"/>
  <c r="G642" i="1" s="1"/>
  <c r="J642" i="1" s="1"/>
  <c r="C18" i="10"/>
  <c r="L229" i="1"/>
  <c r="G660" i="1" s="1"/>
  <c r="L200" i="1"/>
  <c r="L197" i="1"/>
  <c r="I211" i="1"/>
  <c r="C18" i="12"/>
  <c r="G211" i="1"/>
  <c r="L198" i="1"/>
  <c r="C12" i="10"/>
  <c r="C111" i="2"/>
  <c r="C15" i="10"/>
  <c r="C118" i="2"/>
  <c r="C17" i="10"/>
  <c r="C120" i="2"/>
  <c r="C19" i="10"/>
  <c r="C122" i="2"/>
  <c r="C123" i="2"/>
  <c r="C20" i="10"/>
  <c r="C21" i="10"/>
  <c r="C124" i="2"/>
  <c r="L233" i="1"/>
  <c r="L247" i="1" s="1"/>
  <c r="I247" i="1"/>
  <c r="G247" i="1"/>
  <c r="L234" i="1"/>
  <c r="H662" i="1"/>
  <c r="I662" i="1" s="1"/>
  <c r="L358" i="1"/>
  <c r="I362" i="1"/>
  <c r="G634" i="1" s="1"/>
  <c r="J634" i="1" s="1"/>
  <c r="L328" i="1"/>
  <c r="B18" i="12"/>
  <c r="F328" i="1"/>
  <c r="F338" i="1" s="1"/>
  <c r="F352" i="1" s="1"/>
  <c r="L325" i="1"/>
  <c r="E124" i="2" s="1"/>
  <c r="E128" i="2" s="1"/>
  <c r="E145" i="2" s="1"/>
  <c r="G328" i="1"/>
  <c r="G338" i="1" s="1"/>
  <c r="G352" i="1" s="1"/>
  <c r="K594" i="1"/>
  <c r="K598" i="1" s="1"/>
  <c r="G647" i="1" s="1"/>
  <c r="J647" i="1" s="1"/>
  <c r="H598" i="1"/>
  <c r="H649" i="1" s="1"/>
  <c r="J649" i="1" s="1"/>
  <c r="L521" i="1"/>
  <c r="G524" i="1"/>
  <c r="I529" i="1"/>
  <c r="I545" i="1" s="1"/>
  <c r="L526" i="1"/>
  <c r="L527" i="1"/>
  <c r="G550" i="1" s="1"/>
  <c r="G529" i="1"/>
  <c r="L532" i="1"/>
  <c r="H550" i="1" s="1"/>
  <c r="H552" i="1" s="1"/>
  <c r="I534" i="1"/>
  <c r="L536" i="1"/>
  <c r="I539" i="1"/>
  <c r="L537" i="1"/>
  <c r="I550" i="1" s="1"/>
  <c r="G539" i="1"/>
  <c r="L541" i="1"/>
  <c r="G544" i="1"/>
  <c r="K498" i="1"/>
  <c r="F500" i="1"/>
  <c r="B21" i="12" l="1"/>
  <c r="F661" i="1"/>
  <c r="D127" i="2"/>
  <c r="D128" i="2" s="1"/>
  <c r="D145" i="2" s="1"/>
  <c r="G661" i="1"/>
  <c r="D29" i="13"/>
  <c r="C29" i="13" s="1"/>
  <c r="L362" i="1"/>
  <c r="G664" i="1"/>
  <c r="C112" i="2"/>
  <c r="C13" i="10"/>
  <c r="L408" i="1"/>
  <c r="C139" i="2"/>
  <c r="L544" i="1"/>
  <c r="J549" i="1"/>
  <c r="J552" i="1" s="1"/>
  <c r="G545" i="1"/>
  <c r="D31" i="13"/>
  <c r="C31" i="13" s="1"/>
  <c r="L338" i="1"/>
  <c r="L352" i="1" s="1"/>
  <c r="G633" i="1" s="1"/>
  <c r="J633" i="1" s="1"/>
  <c r="H660" i="1"/>
  <c r="C36" i="10"/>
  <c r="G51" i="2"/>
  <c r="C11" i="12"/>
  <c r="C10" i="12"/>
  <c r="G549" i="1"/>
  <c r="G552" i="1" s="1"/>
  <c r="L529" i="1"/>
  <c r="G257" i="1"/>
  <c r="G271" i="1" s="1"/>
  <c r="G9" i="2"/>
  <c r="G18" i="2" s="1"/>
  <c r="J19" i="1"/>
  <c r="G621" i="1" s="1"/>
  <c r="L534" i="1"/>
  <c r="I549" i="1"/>
  <c r="I552" i="1" s="1"/>
  <c r="L539" i="1"/>
  <c r="I257" i="1"/>
  <c r="I271" i="1" s="1"/>
  <c r="G646" i="1"/>
  <c r="G631" i="1"/>
  <c r="J631" i="1" s="1"/>
  <c r="B161" i="2"/>
  <c r="G161" i="2" s="1"/>
  <c r="K500" i="1"/>
  <c r="K550" i="1"/>
  <c r="L524" i="1"/>
  <c r="L545" i="1" s="1"/>
  <c r="F549" i="1"/>
  <c r="H661" i="1"/>
  <c r="C128" i="2"/>
  <c r="C110" i="2"/>
  <c r="C11" i="10"/>
  <c r="C10" i="10"/>
  <c r="C109" i="2"/>
  <c r="C115" i="2" s="1"/>
  <c r="L211" i="1"/>
  <c r="D5" i="13"/>
  <c r="D104" i="2"/>
  <c r="J51" i="1"/>
  <c r="C141" i="2" l="1"/>
  <c r="C144" i="2" s="1"/>
  <c r="C145" i="2" s="1"/>
  <c r="G635" i="1"/>
  <c r="J635" i="1" s="1"/>
  <c r="C27" i="10"/>
  <c r="C5" i="13"/>
  <c r="D33" i="13"/>
  <c r="D36" i="13" s="1"/>
  <c r="K549" i="1"/>
  <c r="K552" i="1" s="1"/>
  <c r="F552" i="1"/>
  <c r="C13" i="12"/>
  <c r="A13" i="12" s="1"/>
  <c r="G637" i="1"/>
  <c r="J637" i="1" s="1"/>
  <c r="H646" i="1"/>
  <c r="J646" i="1" s="1"/>
  <c r="C41" i="10"/>
  <c r="D36" i="10" s="1"/>
  <c r="I661" i="1"/>
  <c r="L257" i="1"/>
  <c r="L271" i="1" s="1"/>
  <c r="G632" i="1" s="1"/>
  <c r="J632" i="1" s="1"/>
  <c r="F660" i="1"/>
  <c r="J621" i="1"/>
  <c r="H664" i="1"/>
  <c r="G667" i="1"/>
  <c r="G672" i="1"/>
  <c r="B22" i="12"/>
  <c r="C21" i="12" s="1"/>
  <c r="G626" i="1"/>
  <c r="J626" i="1" s="1"/>
  <c r="J52" i="1"/>
  <c r="H621" i="1" s="1"/>
  <c r="F664" i="1" l="1"/>
  <c r="I660" i="1"/>
  <c r="I664" i="1" s="1"/>
  <c r="C20" i="12"/>
  <c r="C19" i="12"/>
  <c r="C22" i="12" s="1"/>
  <c r="A22" i="12" s="1"/>
  <c r="H672" i="1"/>
  <c r="C6" i="10" s="1"/>
  <c r="H667" i="1"/>
  <c r="D27" i="10"/>
  <c r="D37" i="10"/>
  <c r="D40" i="10"/>
  <c r="D39" i="10"/>
  <c r="D38" i="10"/>
  <c r="D35" i="10"/>
  <c r="H656" i="1"/>
  <c r="C28" i="10"/>
  <c r="D25" i="10" l="1"/>
  <c r="D23" i="10"/>
  <c r="C30" i="10"/>
  <c r="D26" i="10"/>
  <c r="D22" i="10"/>
  <c r="D19" i="10"/>
  <c r="D20" i="10"/>
  <c r="D17" i="10"/>
  <c r="D24" i="10"/>
  <c r="D15" i="10"/>
  <c r="D16" i="10"/>
  <c r="D18" i="10"/>
  <c r="D21" i="10"/>
  <c r="D12" i="10"/>
  <c r="D11" i="10"/>
  <c r="D10" i="10"/>
  <c r="D28" i="10" s="1"/>
  <c r="D13" i="10"/>
  <c r="I672" i="1"/>
  <c r="C7" i="10" s="1"/>
  <c r="I667" i="1"/>
  <c r="D41" i="10"/>
  <c r="F667" i="1"/>
  <c r="F672" i="1"/>
  <c r="C4" i="10" s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<sst xmlns="http://schemas.openxmlformats.org/spreadsheetml/2006/main" count="3962" uniqueCount="917">
  <si>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</si>
  <si>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</si>
  <si>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</si>
  <si>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</si>
  <si>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</si>
  <si>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</si>
  <si>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</si>
  <si>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</si>
  <si>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</si>
  <si>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</si>
  <si>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</si>
  <si>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</si>
  <si>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</si>
  <si>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</si>
  <si>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</si>
  <si>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</si>
  <si>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</si>
  <si>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</si>
  <si>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</si>
  <si>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</si>
  <si>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</si>
  <si>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</si>
  <si>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</si>
  <si>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</si>
  <si>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</si>
  <si>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</si>
  <si>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</si>
  <si>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</si>
  <si>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</si>
  <si>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</si>
  <si>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</si>
  <si>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</si>
  <si>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</si>
  <si>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</si>
  <si>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</si>
  <si>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</si>
  <si>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</si>
  <si>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</si>
  <si>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</si>
  <si>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</si>
  <si>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</si>
  <si>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</si>
  <si>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</si>
  <si>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</si>
  <si>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</si>
  <si>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</si>
  <si>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</si>
  <si>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</si>
  <si>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</si>
  <si>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</si>
  <si>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</si>
  <si>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</si>
  <si>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</si>
  <si>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</si>
  <si>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</si>
  <si>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</si>
  <si>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</si>
  <si>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</si>
  <si>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</si>
  <si>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</si>
  <si>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</si>
  <si>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</si>
  <si>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</si>
  <si>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</si>
  <si>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</si>
  <si>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</si>
  <si>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</si>
  <si>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</si>
  <si>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</si>
  <si>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</si>
  <si>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</si>
  <si>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</si>
  <si>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</si>
  <si>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</si>
  <si>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</si>
  <si>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</si>
  <si>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</si>
  <si>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</si>
  <si>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</si>
  <si>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</si>
  <si>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</si>
  <si>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</si>
  <si>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</si>
  <si>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</si>
  <si>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</si>
  <si>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</si>
  <si>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</si>
  <si>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</si>
  <si>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</si>
  <si>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</si>
  <si>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</si>
  <si>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</si>
  <si>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</si>
  <si>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</si>
  <si>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</si>
  <si>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</si>
  <si>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</si>
  <si>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</si>
  <si>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</si>
  <si>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</si>
  <si>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</si>
  <si>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</si>
  <si>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</si>
  <si>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</si>
  <si>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</si>
  <si>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</si>
  <si>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</si>
  <si>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</si>
  <si>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</si>
  <si>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</si>
  <si>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</si>
  <si>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</si>
  <si>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</si>
  <si>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</si>
  <si>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</si>
  <si>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</si>
  <si>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</si>
  <si>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</si>
  <si>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</si>
  <si>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</si>
  <si>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</si>
  <si>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</si>
  <si>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</si>
  <si>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</si>
  <si>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</si>
  <si>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</si>
  <si>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</si>
  <si>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</si>
  <si>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</si>
  <si>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</si>
  <si>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</si>
  <si>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</si>
  <si>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</si>
  <si>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</si>
  <si>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</si>
  <si>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</si>
  <si>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</si>
  <si>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</si>
  <si>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</si>
  <si>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</si>
  <si>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</si>
  <si>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</si>
  <si>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</si>
  <si>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</si>
  <si>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</si>
  <si>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</si>
  <si>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</si>
  <si>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</si>
  <si>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</si>
  <si>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</si>
  <si>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</si>
  <si>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</si>
  <si>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</si>
  <si>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</si>
  <si>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</si>
  <si>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</si>
  <si>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</si>
  <si>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</si>
  <si>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</si>
  <si>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</si>
  <si>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</si>
  <si>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</si>
  <si>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</si>
  <si>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</si>
  <si>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</si>
  <si>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</si>
  <si>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</si>
  <si>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</si>
  <si>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</si>
  <si>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</si>
  <si>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</si>
  <si>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</si>
  <si>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</si>
  <si>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</si>
  <si>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</si>
  <si>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</si>
  <si>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</si>
  <si>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</si>
  <si>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</si>
  <si>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</si>
  <si>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</si>
  <si>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</si>
  <si>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</si>
  <si>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</si>
  <si>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</si>
  <si>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</si>
  <si>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</si>
  <si>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</si>
  <si>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</si>
  <si>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</si>
  <si>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</si>
  <si>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</si>
  <si>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</si>
  <si>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</si>
  <si>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</si>
  <si>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</si>
  <si>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</si>
  <si>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</si>
  <si>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</si>
  <si>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</si>
  <si>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</si>
  <si>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</si>
  <si>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</si>
  <si>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</si>
  <si>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</si>
  <si>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</si>
  <si>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</si>
  <si>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</si>
  <si>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</si>
  <si>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</si>
  <si>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</si>
  <si>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</si>
  <si>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</si>
  <si>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</si>
  <si>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</si>
  <si>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</si>
  <si>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</si>
  <si>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</si>
  <si>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</si>
  <si>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</si>
  <si>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</si>
  <si>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</si>
  <si>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</si>
  <si>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</si>
  <si>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</si>
  <si>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</si>
  <si>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</si>
  <si>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</si>
  <si>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</si>
  <si>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</si>
  <si>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</si>
  <si>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</si>
  <si>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</si>
  <si>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</si>
  <si>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</si>
  <si>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</si>
  <si>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</si>
  <si>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</si>
  <si>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</si>
  <si>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</si>
  <si>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</si>
  <si>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</si>
  <si>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</si>
  <si>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</si>
  <si>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</si>
  <si>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</si>
  <si>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</si>
  <si>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</si>
  <si>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</si>
  <si>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</si>
  <si>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</si>
  <si>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</si>
  <si>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</si>
  <si>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</si>
  <si>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</si>
  <si>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</si>
  <si>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</si>
  <si>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</si>
  <si>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</si>
  <si>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</si>
  <si>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</si>
  <si>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</si>
  <si>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</si>
  <si>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</si>
  <si>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</si>
  <si>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</si>
  <si>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</si>
  <si>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</si>
  <si>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</si>
  <si>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</si>
  <si>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</si>
  <si>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</si>
  <si>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</si>
  <si>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</si>
  <si>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</si>
  <si>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</si>
  <si>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</si>
  <si>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</si>
  <si>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</si>
  <si>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</si>
  <si>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</si>
  <si>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</si>
  <si>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</si>
  <si>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</si>
  <si>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</si>
  <si>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</si>
  <si>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</si>
  <si>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</si>
  <si>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</si>
  <si>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</si>
  <si>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</si>
  <si>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</si>
  <si>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</si>
  <si>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</si>
  <si>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</si>
  <si>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</si>
  <si>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</si>
  <si>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</si>
  <si>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</si>
  <si>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</si>
  <si>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</si>
  <si>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</si>
  <si>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</si>
  <si>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</si>
  <si>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</si>
  <si>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</si>
  <si>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</si>
  <si>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</si>
  <si>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</si>
  <si>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</si>
  <si>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</si>
  <si>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</si>
  <si>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</si>
  <si>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</si>
  <si>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</si>
  <si>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</si>
  <si>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</si>
  <si>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</si>
  <si>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</si>
  <si>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</si>
  <si>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</si>
  <si>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</si>
  <si>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</si>
  <si>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</si>
  <si>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</si>
  <si>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</si>
  <si>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</si>
  <si>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</si>
  <si>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</si>
  <si>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</si>
  <si>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</si>
  <si>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</si>
  <si>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</si>
  <si>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</si>
  <si>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</si>
  <si>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</si>
  <si>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</si>
  <si>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</si>
  <si>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</si>
  <si>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</si>
  <si>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</si>
  <si>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</si>
  <si>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</si>
  <si>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</si>
  <si>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</si>
  <si>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</si>
  <si>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</si>
  <si>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</si>
  <si>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</si>
  <si>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</si>
  <si>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</si>
  <si>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</si>
  <si>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</si>
  <si>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</si>
  <si>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</si>
  <si>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</si>
  <si>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</si>
  <si>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</si>
  <si>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</si>
  <si>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</si>
  <si>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</si>
  <si>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</si>
  <si>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</si>
  <si>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</si>
  <si>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</si>
  <si>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</si>
  <si>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</si>
  <si>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</si>
  <si>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</si>
  <si>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</si>
  <si>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</si>
  <si>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</si>
  <si>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</si>
  <si>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</si>
  <si>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</si>
  <si>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</si>
  <si>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</si>
  <si>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</si>
  <si>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</si>
  <si>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</si>
  <si>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</si>
  <si>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</si>
  <si>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</si>
  <si>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</si>
  <si>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</si>
  <si>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</si>
  <si>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</si>
  <si>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</si>
  <si>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</si>
  <si>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</si>
  <si>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</si>
  <si>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</si>
  <si>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</si>
  <si>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</si>
  <si>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</si>
  <si>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</si>
  <si>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</si>
  <si>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</si>
  <si>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</si>
  <si>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</si>
  <si>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</si>
  <si>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</si>
  <si>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</si>
  <si>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</si>
  <si>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</si>
  <si>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</si>
  <si>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</si>
  <si>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</si>
  <si>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</si>
  <si>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</si>
  <si>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</si>
  <si>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</si>
  <si>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</si>
  <si>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</si>
  <si>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</si>
  <si>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</si>
  <si>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</si>
  <si>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</si>
  <si>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</si>
  <si>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</si>
  <si>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</si>
  <si>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</si>
  <si>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</si>
  <si>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</si>
  <si>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</si>
  <si>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</si>
  <si>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</si>
  <si>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</si>
  <si>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</si>
  <si>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</si>
  <si>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</si>
  <si>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</si>
  <si>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</si>
  <si>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</si>
  <si>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</si>
  <si>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</si>
  <si>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</si>
  <si>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</si>
  <si>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</si>
  <si>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</si>
  <si>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</si>
  <si>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</si>
  <si>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</si>
  <si>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</si>
  <si>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</si>
  <si>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</si>
  <si>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</si>
  <si>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</si>
  <si>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</si>
  <si>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</si>
  <si>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</si>
  <si>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</si>
  <si>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</si>
  <si>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</si>
  <si>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</si>
  <si>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</si>
  <si>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</si>
  <si>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</si>
  <si>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</si>
  <si>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</si>
  <si>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</si>
  <si>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</si>
  <si>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</si>
  <si>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</si>
  <si>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</si>
  <si>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</si>
  <si>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</si>
  <si>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</si>
  <si>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</si>
  <si>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</si>
  <si>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</si>
  <si>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</si>
  <si>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</si>
  <si>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</si>
  <si>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</si>
  <si>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</si>
  <si>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</si>
  <si>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</si>
  <si>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</si>
  <si>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</si>
  <si>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</si>
  <si>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</si>
  <si>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</si>
  <si>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</si>
  <si>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</si>
  <si>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</si>
  <si>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</si>
  <si>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</si>
  <si>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</si>
  <si>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</si>
  <si>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</si>
  <si>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</si>
  <si>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</si>
  <si>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</si>
  <si>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</si>
  <si>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</si>
  <si>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</si>
  <si>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</si>
  <si>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</si>
  <si>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</si>
  <si>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</si>
  <si>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</si>
  <si>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</si>
  <si>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</si>
  <si>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</si>
  <si>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</si>
  <si>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</si>
  <si>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</si>
  <si>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</si>
  <si>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</si>
  <si>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</si>
  <si>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</si>
  <si>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</si>
  <si>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</si>
  <si>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</si>
  <si>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</si>
  <si>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</si>
  <si>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</si>
  <si>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</si>
  <si>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</si>
  <si>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</si>
  <si>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</si>
  <si>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</si>
  <si>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</si>
  <si>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</si>
  <si>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</si>
  <si>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</si>
  <si>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</si>
  <si>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</si>
  <si>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</si>
  <si>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</si>
  <si>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</si>
  <si>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</si>
  <si>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</si>
  <si>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</si>
  <si>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</si>
  <si>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</si>
  <si>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</si>
  <si>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</si>
  <si>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</si>
  <si>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</si>
  <si>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</si>
  <si>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</si>
  <si>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</si>
  <si>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</si>
  <si>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</si>
  <si>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</si>
  <si>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</si>
  <si>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</si>
  <si>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</si>
  <si>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</si>
  <si>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</si>
  <si>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</si>
  <si>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</si>
  <si>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</si>
  <si>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</si>
  <si>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</si>
  <si>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</si>
  <si>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</si>
  <si>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</si>
  <si>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</si>
  <si>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</si>
  <si>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</si>
  <si>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</si>
  <si>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</si>
  <si>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</si>
  <si>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</si>
  <si>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</si>
  <si>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</si>
  <si>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</si>
  <si>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</si>
  <si>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</si>
  <si>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</si>
  <si>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</si>
  <si>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</si>
  <si>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</si>
  <si>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</si>
  <si>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</si>
  <si>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</si>
  <si>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</si>
  <si>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</si>
  <si>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</si>
  <si>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</si>
  <si>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</si>
  <si>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</si>
  <si>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</si>
  <si>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</si>
  <si>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</si>
  <si>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</si>
  <si>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</si>
  <si>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</si>
  <si>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</si>
  <si>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</si>
  <si>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</si>
  <si>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</si>
  <si>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</si>
  <si>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</si>
  <si>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</si>
  <si>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</si>
  <si>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</si>
  <si>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</si>
  <si>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</si>
  <si>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</si>
  <si>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</si>
  <si>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</si>
  <si>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</si>
  <si>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</si>
  <si>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</si>
  <si>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</si>
  <si>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</si>
  <si>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</si>
  <si>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</si>
  <si>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</si>
  <si>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</si>
  <si>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</si>
  <si>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</si>
  <si>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</si>
  <si>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</si>
  <si>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</si>
  <si>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</si>
  <si>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</si>
  <si>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</si>
  <si>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</si>
  <si>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</si>
  <si>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</si>
  <si>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</si>
  <si>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</si>
  <si>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</si>
  <si>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</si>
  <si>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</si>
  <si>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</si>
  <si>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</si>
  <si>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</si>
  <si>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</si>
  <si>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</si>
  <si>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</si>
  <si>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</si>
  <si>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</si>
  <si>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</si>
  <si>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</si>
  <si>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</si>
  <si>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</si>
  <si>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</si>
  <si>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</si>
  <si>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</si>
  <si>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</si>
  <si>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</si>
  <si>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</si>
  <si>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</si>
  <si>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</si>
  <si>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</si>
  <si>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</si>
  <si>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</si>
  <si>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</si>
  <si>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</si>
  <si>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</si>
  <si>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</si>
  <si>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</si>
  <si>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</si>
  <si>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</si>
  <si>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</si>
  <si>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</si>
  <si>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</si>
  <si>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</si>
  <si>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</si>
  <si>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</si>
  <si>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</si>
  <si>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</si>
  <si>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</si>
  <si>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</si>
  <si>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</si>
  <si>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</si>
  <si>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</si>
  <si>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</si>
  <si>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</si>
  <si>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</si>
  <si>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</si>
  <si>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</si>
  <si>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</si>
  <si>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</si>
  <si>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</si>
  <si>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</si>
  <si>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</si>
  <si>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</si>
  <si>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</si>
  <si>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</si>
  <si>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</si>
  <si>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</si>
  <si>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</si>
  <si>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</si>
  <si>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</si>
  <si>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</si>
  <si>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</si>
  <si>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</si>
  <si>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</si>
  <si>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</si>
  <si>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</si>
  <si>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</si>
  <si>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</si>
  <si>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</si>
  <si>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</si>
  <si>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</si>
  <si>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</si>
  <si>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</si>
  <si>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</si>
  <si>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</si>
  <si>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</si>
  <si>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</si>
  <si>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</si>
  <si>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</si>
  <si>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</si>
  <si>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</si>
  <si>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</si>
  <si>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</si>
  <si>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</si>
  <si>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</si>
  <si>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</si>
  <si>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</si>
  <si>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</si>
  <si>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</si>
  <si>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</si>
  <si>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</si>
  <si>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</si>
  <si>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</si>
  <si>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</si>
  <si>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</si>
  <si>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</si>
  <si>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</si>
  <si>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</si>
  <si>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</si>
  <si>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</si>
  <si>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</si>
  <si>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</si>
  <si>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</si>
  <si>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</si>
  <si>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</si>
  <si>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</si>
  <si>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</si>
  <si>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</si>
  <si>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</si>
  <si>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</si>
  <si>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</si>
  <si>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</si>
  <si>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</si>
  <si>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</si>
  <si>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</si>
  <si>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</si>
  <si>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</si>
  <si>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</si>
  <si>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</si>
  <si>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</si>
  <si>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</si>
  <si>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</si>
  <si>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</si>
  <si>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</si>
  <si>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</si>
  <si>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</si>
  <si>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</si>
  <si>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</si>
  <si>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</si>
  <si>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</si>
  <si>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</si>
  <si>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</si>
  <si>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</si>
  <si>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</si>
  <si>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</si>
  <si>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</si>
  <si>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</si>
  <si>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</si>
  <si>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</si>
  <si>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</si>
  <si>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</si>
  <si>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</si>
  <si>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</si>
  <si>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</si>
  <si>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</si>
  <si>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</si>
  <si>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</si>
  <si>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</si>
  <si>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</si>
  <si>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</si>
  <si>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</si>
  <si>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</si>
  <si>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</si>
  <si>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</si>
  <si>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</si>
  <si>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</si>
  <si>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</si>
  <si>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</si>
  <si>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</si>
  <si>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</si>
  <si>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</si>
  <si>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</si>
  <si>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</si>
  <si>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</si>
  <si>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</si>
  <si>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</si>
  <si>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</si>
  <si>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</si>
  <si>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</si>
  <si>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</si>
  <si>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</si>
  <si>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</si>
  <si>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</si>
  <si>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</si>
  <si>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</si>
  <si>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</si>
  <si>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</si>
  <si>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</si>
  <si>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</si>
  <si>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</si>
  <si>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</si>
  <si>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</si>
  <si>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</si>
  <si>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</si>
  <si>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</si>
  <si>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</si>
  <si>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</si>
  <si>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</si>
  <si>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</si>
  <si>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</si>
  <si>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</si>
  <si>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</si>
  <si>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</si>
  <si>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</si>
  <si>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</si>
  <si>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</si>
  <si>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</si>
  <si>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</si>
  <si>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</si>
  <si>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</si>
  <si>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</si>
  <si>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</si>
  <si>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</si>
  <si>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</si>
  <si>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</si>
  <si>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</si>
  <si>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</si>
  <si>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</si>
  <si>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</si>
  <si>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</si>
  <si>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</si>
  <si>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</si>
  <si>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</si>
  <si>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</si>
  <si>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</si>
  <si>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</si>
  <si>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</si>
  <si>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</si>
  <si>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</si>
  <si>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</si>
  <si>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</si>
  <si>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</si>
  <si>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</si>
  <si>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</si>
  <si>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</si>
  <si>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</si>
  <si>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</si>
  <si>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</si>
  <si>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</si>
  <si>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</si>
  <si>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</si>
  <si>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</si>
  <si>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</si>
  <si>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</si>
  <si>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</si>
  <si>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</si>
  <si>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</si>
  <si>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</si>
  <si>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</si>
  <si>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</si>
  <si>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</si>
  <si>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</si>
  <si>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</si>
  <si>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</si>
  <si>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</si>
  <si>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</si>
  <si>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</si>
  <si>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</si>
  <si>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</si>
  <si>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</si>
  <si>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</si>
  <si>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</si>
  <si>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</si>
  <si>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</si>
  <si>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</si>
  <si>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</si>
  <si>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</si>
  <si>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</si>
  <si>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</si>
  <si>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</si>
  <si>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</si>
  <si>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</si>
  <si>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</si>
  <si>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</si>
  <si>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</si>
  <si>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</si>
  <si>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</si>
  <si>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</si>
  <si>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</si>
  <si>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</si>
  <si>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</si>
  <si>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</si>
  <si>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</si>
  <si>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</si>
  <si>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</si>
  <si>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</si>
  <si>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</si>
  <si>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</si>
  <si>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</si>
  <si>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</si>
  <si>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Dresden School District</t>
  </si>
  <si>
    <t>1/15/07</t>
  </si>
  <si>
    <t>12/22/04</t>
  </si>
  <si>
    <t>8/15/03</t>
  </si>
  <si>
    <t>8/15/01</t>
  </si>
  <si>
    <t>1/15/25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</si>
</sst>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u/>
      <sz val="8"/>
      <color theme="10"/>
      <name val="Arial"/>
    </font>
    <font>
      <u/>
      <sz val="8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</borders>
  <cellStyleXfs count="37">
    <xf numFmtId="0" fontId="0" fillId="0" borderId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zoomScalePageLayoutView="125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ColWidth="9"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142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800+451043.91</f>
        <v>451843.91</v>
      </c>
      <c r="G9" s="18">
        <v>150</v>
      </c>
      <c r="H9" s="18"/>
      <c r="I9" s="18"/>
      <c r="J9" s="67">
        <f>SUM(I439)</f>
        <v>86147.68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6672</v>
      </c>
      <c r="G13" s="18">
        <v>144.21</v>
      </c>
      <c r="H13" s="18">
        <v>66784.44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95+23707.21+63109.61+24352.67+1472.83</f>
        <v>112737.32</v>
      </c>
      <c r="G14" s="18">
        <v>158</v>
      </c>
      <c r="H14" s="18">
        <v>-1136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16611.849999999999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587865.07999999996</v>
      </c>
      <c r="G19" s="41">
        <f>SUM(G9:G18)</f>
        <v>452.21000000000004</v>
      </c>
      <c r="H19" s="41">
        <f>SUM(H9:H18)</f>
        <v>65648.44</v>
      </c>
      <c r="I19" s="41">
        <f>SUM(I9:I18)</f>
        <v>0</v>
      </c>
      <c r="J19" s="41">
        <f>SUM(J9:J18)</f>
        <v>86147.68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62280.79</v>
      </c>
      <c r="G22" s="18">
        <v>23446.63</v>
      </c>
      <c r="H22" s="18">
        <v>55072.67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98997.64+40989.08</f>
        <v>139986.72</v>
      </c>
      <c r="G24" s="18"/>
      <c r="H24" s="18"/>
      <c r="I24" s="18">
        <v>-74998.490000000005</v>
      </c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29245.97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59492.3</v>
      </c>
      <c r="G31" s="18"/>
      <c r="H31" s="18">
        <v>449.78</v>
      </c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261759.81</v>
      </c>
      <c r="G32" s="41">
        <f>SUM(G22:G31)</f>
        <v>52692.600000000006</v>
      </c>
      <c r="H32" s="41">
        <f>SUM(H22:H31)</f>
        <v>55522.45</v>
      </c>
      <c r="I32" s="41">
        <f>SUM(I22:I31)</f>
        <v>-74998.490000000005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-52240.39</v>
      </c>
      <c r="H48" s="18">
        <v>10125.99</v>
      </c>
      <c r="I48" s="18">
        <v>74998.490000000005</v>
      </c>
      <c r="J48" s="13">
        <f>SUM(I459)</f>
        <v>86147.68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361452.55-35347.28</f>
        <v>326105.27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326105.27</v>
      </c>
      <c r="G51" s="41">
        <f>SUM(G35:G50)</f>
        <v>-52240.39</v>
      </c>
      <c r="H51" s="41">
        <f>SUM(H35:H50)</f>
        <v>10125.99</v>
      </c>
      <c r="I51" s="41">
        <f>SUM(I35:I50)</f>
        <v>74998.490000000005</v>
      </c>
      <c r="J51" s="41">
        <f>SUM(J35:J50)</f>
        <v>86147.68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587865.08000000007</v>
      </c>
      <c r="G52" s="41">
        <f>G51+G32</f>
        <v>452.2100000000064</v>
      </c>
      <c r="H52" s="41">
        <f>H51+H32</f>
        <v>65648.44</v>
      </c>
      <c r="I52" s="41">
        <f>I51+I32</f>
        <v>0</v>
      </c>
      <c r="J52" s="41">
        <f>J51+J32</f>
        <v>86147.68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f>12493187+6742850-F118</f>
        <v>16627297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16627297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f>99357.65+30005</f>
        <v>129362.65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>
        <v>63720.160000000003</v>
      </c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f>830561.37+1749201+49794</f>
        <v>2629556.37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>
        <v>912758.46</v>
      </c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3735397.64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>
        <v>15000</v>
      </c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15000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1103.4100000000001</v>
      </c>
      <c r="G96" s="18"/>
      <c r="H96" s="18"/>
      <c r="I96" s="18"/>
      <c r="J96" s="18">
        <v>1552.51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465296.79+8545-43560.8</f>
        <v>430280.99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141475</v>
      </c>
      <c r="G98" s="24" t="s">
        <v>289</v>
      </c>
      <c r="H98" s="18">
        <v>105846.89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34205.800000000003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27641.68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25</v>
      </c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31633.31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749.82</f>
        <v>749.82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209192.34000000003</v>
      </c>
      <c r="G111" s="41">
        <f>SUM(G96:G110)</f>
        <v>430280.99</v>
      </c>
      <c r="H111" s="41">
        <f>SUM(H96:H110)</f>
        <v>133488.57</v>
      </c>
      <c r="I111" s="41">
        <f>SUM(I96:I110)</f>
        <v>0</v>
      </c>
      <c r="J111" s="41">
        <f>SUM(J96:J110)</f>
        <v>1552.51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20571886.98</v>
      </c>
      <c r="G112" s="41">
        <f>G60+G111</f>
        <v>430280.99</v>
      </c>
      <c r="H112" s="41">
        <f>H60+H79+H94+H111</f>
        <v>148488.57</v>
      </c>
      <c r="I112" s="41">
        <f>I60+I111</f>
        <v>0</v>
      </c>
      <c r="J112" s="41">
        <f>J60+J111</f>
        <v>1552.51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/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2608740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2608740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492293.49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>
        <v>0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f>17323.19</f>
        <v>17323.189999999999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f>1203.6+8421.18</f>
        <v>9624.7800000000007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519241.46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>
        <v>100000</v>
      </c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3227981.46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12293.28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726.57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187323.96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/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0</v>
      </c>
      <c r="G162" s="41">
        <f>SUM(G150:G161)</f>
        <v>726.57</v>
      </c>
      <c r="H162" s="41">
        <f>SUM(H150:H161)</f>
        <v>199617.24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0</v>
      </c>
      <c r="G169" s="41">
        <f>G147+G162+SUM(G163:G168)</f>
        <v>726.57</v>
      </c>
      <c r="H169" s="41">
        <f>H147+H162+SUM(H163:H168)</f>
        <v>199617.24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43560.800000000003</v>
      </c>
      <c r="H179" s="18"/>
      <c r="I179" s="18">
        <v>105000</v>
      </c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43560.800000000003</v>
      </c>
      <c r="H183" s="41">
        <f>SUM(H179:H182)</f>
        <v>0</v>
      </c>
      <c r="I183" s="41">
        <f>SUM(I179:I182)</f>
        <v>105000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43560.800000000003</v>
      </c>
      <c r="H192" s="41">
        <f>+H183+SUM(H188:H191)</f>
        <v>0</v>
      </c>
      <c r="I192" s="41">
        <f>I177+I183+SUM(I188:I191)</f>
        <v>105000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23799868.440000001</v>
      </c>
      <c r="G193" s="47">
        <f>G112+G140+G169+G192</f>
        <v>474568.36</v>
      </c>
      <c r="H193" s="47">
        <f>H112+H140+H169+H192</f>
        <v>348105.81</v>
      </c>
      <c r="I193" s="47">
        <f>I112+I140+I169+I192</f>
        <v>105000</v>
      </c>
      <c r="J193" s="47">
        <f>J112+J140+J192</f>
        <v>1552.51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2388034.38</v>
      </c>
      <c r="G197" s="18">
        <v>825206.03</v>
      </c>
      <c r="H197" s="18">
        <v>58227.44</v>
      </c>
      <c r="I197" s="18">
        <v>77840.41</v>
      </c>
      <c r="J197" s="18">
        <v>91096.98</v>
      </c>
      <c r="K197" s="18">
        <v>-1869.39</v>
      </c>
      <c r="L197" s="19">
        <f>SUM(F197:K197)</f>
        <v>3438535.85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705091.77</v>
      </c>
      <c r="G198" s="18">
        <v>444277.44</v>
      </c>
      <c r="H198" s="18">
        <v>10415.31</v>
      </c>
      <c r="I198" s="18">
        <v>4683.91</v>
      </c>
      <c r="J198" s="18">
        <v>1610.69</v>
      </c>
      <c r="K198" s="18">
        <v>0</v>
      </c>
      <c r="L198" s="19">
        <f>SUM(F198:K198)</f>
        <v>1166079.1199999999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18650</v>
      </c>
      <c r="G200" s="18">
        <v>1768.75</v>
      </c>
      <c r="H200" s="18">
        <v>3878.77</v>
      </c>
      <c r="I200" s="18">
        <v>0</v>
      </c>
      <c r="J200" s="18">
        <v>0</v>
      </c>
      <c r="K200" s="18">
        <v>0</v>
      </c>
      <c r="L200" s="19">
        <f>SUM(F200:K200)</f>
        <v>24297.52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201426.13</v>
      </c>
      <c r="G202" s="18">
        <v>97158.68</v>
      </c>
      <c r="H202" s="18">
        <v>878.38</v>
      </c>
      <c r="I202" s="18">
        <v>2952.77</v>
      </c>
      <c r="J202" s="18">
        <v>0</v>
      </c>
      <c r="K202" s="18">
        <v>100</v>
      </c>
      <c r="L202" s="19">
        <f t="shared" ref="L202:L208" si="0">SUM(F202:K202)</f>
        <v>302515.96000000002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95134.78</v>
      </c>
      <c r="G203" s="18">
        <v>95930.26</v>
      </c>
      <c r="H203" s="18">
        <v>9473.34</v>
      </c>
      <c r="I203" s="18">
        <v>25020.03</v>
      </c>
      <c r="J203" s="18">
        <v>3493.38</v>
      </c>
      <c r="K203" s="18">
        <v>0</v>
      </c>
      <c r="L203" s="19">
        <f t="shared" si="0"/>
        <v>229051.78999999998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4406.79</v>
      </c>
      <c r="G204" s="18">
        <v>347.08</v>
      </c>
      <c r="H204" s="18">
        <v>322998.98</v>
      </c>
      <c r="I204" s="18">
        <v>0</v>
      </c>
      <c r="J204" s="18">
        <v>0</v>
      </c>
      <c r="K204" s="18">
        <v>3306.88</v>
      </c>
      <c r="L204" s="19">
        <f t="shared" si="0"/>
        <v>331059.73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286241.71000000002</v>
      </c>
      <c r="G205" s="18">
        <v>267570.28000000003</v>
      </c>
      <c r="H205" s="18">
        <v>22574.81</v>
      </c>
      <c r="I205" s="18">
        <v>2457.96</v>
      </c>
      <c r="J205" s="18">
        <v>0</v>
      </c>
      <c r="K205" s="18">
        <v>800</v>
      </c>
      <c r="L205" s="19">
        <f t="shared" si="0"/>
        <v>579644.76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339412.8</v>
      </c>
      <c r="G207" s="18">
        <v>151947.32999999999</v>
      </c>
      <c r="H207" s="18">
        <v>112767.65</v>
      </c>
      <c r="I207" s="18">
        <v>102608.57</v>
      </c>
      <c r="J207" s="18">
        <v>1661.75</v>
      </c>
      <c r="K207" s="18">
        <v>-14028.78</v>
      </c>
      <c r="L207" s="19">
        <f t="shared" si="0"/>
        <v>694369.32000000007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0</v>
      </c>
      <c r="G208" s="18">
        <v>0</v>
      </c>
      <c r="H208" s="18">
        <v>8659.2999999999993</v>
      </c>
      <c r="I208" s="18">
        <v>0</v>
      </c>
      <c r="J208" s="18">
        <v>0</v>
      </c>
      <c r="K208" s="18">
        <v>0</v>
      </c>
      <c r="L208" s="19">
        <f t="shared" si="0"/>
        <v>8659.2999999999993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4038398.3599999994</v>
      </c>
      <c r="G211" s="41">
        <f t="shared" si="1"/>
        <v>1884205.85</v>
      </c>
      <c r="H211" s="41">
        <f t="shared" si="1"/>
        <v>549873.98</v>
      </c>
      <c r="I211" s="41">
        <f t="shared" si="1"/>
        <v>215563.65000000002</v>
      </c>
      <c r="J211" s="41">
        <f t="shared" si="1"/>
        <v>97862.8</v>
      </c>
      <c r="K211" s="41">
        <f t="shared" si="1"/>
        <v>-11691.29</v>
      </c>
      <c r="L211" s="41">
        <f t="shared" si="1"/>
        <v>6774213.3499999987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4471988.0199999996</v>
      </c>
      <c r="G233" s="18">
        <v>1543156.98</v>
      </c>
      <c r="H233" s="18">
        <v>63586.1</v>
      </c>
      <c r="I233" s="18">
        <v>136849.88</v>
      </c>
      <c r="J233" s="18">
        <v>140857.10999999999</v>
      </c>
      <c r="K233" s="18">
        <v>4966.37</v>
      </c>
      <c r="L233" s="19">
        <f>SUM(F233:K233)</f>
        <v>6361404.46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903575.65</v>
      </c>
      <c r="G234" s="18">
        <v>420996.18</v>
      </c>
      <c r="H234" s="18">
        <v>51087.89</v>
      </c>
      <c r="I234" s="18">
        <v>14053.39</v>
      </c>
      <c r="J234" s="18">
        <v>11411.4</v>
      </c>
      <c r="K234" s="18">
        <v>0</v>
      </c>
      <c r="L234" s="19">
        <f>SUM(F234:K234)</f>
        <v>1401124.5099999998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0</v>
      </c>
      <c r="G235" s="18">
        <v>0</v>
      </c>
      <c r="H235" s="18">
        <v>72259.17</v>
      </c>
      <c r="I235" s="18">
        <v>0</v>
      </c>
      <c r="J235" s="18">
        <v>0</v>
      </c>
      <c r="K235" s="18">
        <v>0</v>
      </c>
      <c r="L235" s="19">
        <f>SUM(F235:K235)</f>
        <v>72259.17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422345.74</v>
      </c>
      <c r="G236" s="18">
        <v>118005.39</v>
      </c>
      <c r="H236" s="18">
        <v>177749.73</v>
      </c>
      <c r="I236" s="18">
        <v>13116.48</v>
      </c>
      <c r="J236" s="18">
        <v>30207.31</v>
      </c>
      <c r="K236" s="18">
        <v>4734.09</v>
      </c>
      <c r="L236" s="19">
        <f>SUM(F236:K236)</f>
        <v>766158.74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654534.15</v>
      </c>
      <c r="G238" s="18">
        <v>270340.5</v>
      </c>
      <c r="H238" s="18">
        <v>9291.6</v>
      </c>
      <c r="I238" s="18">
        <v>8313.08</v>
      </c>
      <c r="J238" s="18">
        <v>682.47</v>
      </c>
      <c r="K238" s="18">
        <v>355</v>
      </c>
      <c r="L238" s="19">
        <f t="shared" ref="L238:L244" si="4">SUM(F238:K238)</f>
        <v>943516.79999999993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158632.07999999999</v>
      </c>
      <c r="G239" s="18">
        <v>149917.31</v>
      </c>
      <c r="H239" s="18">
        <v>19873.080000000002</v>
      </c>
      <c r="I239" s="18">
        <v>55229.13</v>
      </c>
      <c r="J239" s="18">
        <v>17192.689999999999</v>
      </c>
      <c r="K239" s="18">
        <v>520</v>
      </c>
      <c r="L239" s="19">
        <f t="shared" si="4"/>
        <v>401364.29000000004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8158.21</v>
      </c>
      <c r="G240" s="18">
        <v>642.54</v>
      </c>
      <c r="H240" s="18">
        <v>597962.23</v>
      </c>
      <c r="I240" s="18">
        <v>0</v>
      </c>
      <c r="J240" s="18">
        <v>0</v>
      </c>
      <c r="K240" s="18">
        <v>6121.98</v>
      </c>
      <c r="L240" s="19">
        <f t="shared" si="4"/>
        <v>612884.96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674851.2</v>
      </c>
      <c r="G241" s="18">
        <v>624504</v>
      </c>
      <c r="H241" s="18">
        <v>39490.33</v>
      </c>
      <c r="I241" s="18">
        <v>20089.39</v>
      </c>
      <c r="J241" s="18">
        <v>607.97</v>
      </c>
      <c r="K241" s="18">
        <v>5014</v>
      </c>
      <c r="L241" s="19">
        <f t="shared" si="4"/>
        <v>1364556.89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564420.31000000006</v>
      </c>
      <c r="G243" s="18">
        <v>254129.35</v>
      </c>
      <c r="H243" s="18">
        <v>270632.43</v>
      </c>
      <c r="I243" s="18">
        <v>238946.87</v>
      </c>
      <c r="J243" s="18">
        <v>1588.72</v>
      </c>
      <c r="K243" s="18">
        <v>-25971.22</v>
      </c>
      <c r="L243" s="19">
        <f t="shared" si="4"/>
        <v>1303746.46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0</v>
      </c>
      <c r="G244" s="18">
        <v>0</v>
      </c>
      <c r="H244" s="18">
        <v>167060.75</v>
      </c>
      <c r="I244" s="18">
        <v>0</v>
      </c>
      <c r="J244" s="18">
        <v>0</v>
      </c>
      <c r="K244" s="18">
        <v>0</v>
      </c>
      <c r="L244" s="19">
        <f t="shared" si="4"/>
        <v>167060.75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7858505.3600000013</v>
      </c>
      <c r="G247" s="41">
        <f t="shared" si="5"/>
        <v>3381692.25</v>
      </c>
      <c r="H247" s="41">
        <f t="shared" si="5"/>
        <v>1468993.31</v>
      </c>
      <c r="I247" s="41">
        <f t="shared" si="5"/>
        <v>486598.22000000003</v>
      </c>
      <c r="J247" s="41">
        <f t="shared" si="5"/>
        <v>202547.66999999998</v>
      </c>
      <c r="K247" s="41">
        <f t="shared" si="5"/>
        <v>-4259.7800000000025</v>
      </c>
      <c r="L247" s="41">
        <f t="shared" si="5"/>
        <v>13394077.030000001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72795.259999999995</v>
      </c>
      <c r="I255" s="18"/>
      <c r="J255" s="18"/>
      <c r="K255" s="18"/>
      <c r="L255" s="19">
        <f t="shared" si="6"/>
        <v>72795.259999999995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72795.259999999995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72795.259999999995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11896903.720000001</v>
      </c>
      <c r="G257" s="41">
        <f t="shared" si="8"/>
        <v>5265898.0999999996</v>
      </c>
      <c r="H257" s="41">
        <f t="shared" si="8"/>
        <v>2091662.55</v>
      </c>
      <c r="I257" s="41">
        <f t="shared" si="8"/>
        <v>702161.87000000011</v>
      </c>
      <c r="J257" s="41">
        <f t="shared" si="8"/>
        <v>300410.46999999997</v>
      </c>
      <c r="K257" s="41">
        <f t="shared" si="8"/>
        <v>-15951.070000000003</v>
      </c>
      <c r="L257" s="41">
        <f t="shared" si="8"/>
        <v>20241085.640000001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2142144.2999999998</v>
      </c>
      <c r="L260" s="19">
        <f>SUM(F260:K260)</f>
        <v>2142144.2999999998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1303424.98</v>
      </c>
      <c r="L261" s="19">
        <f>SUM(F261:K261)</f>
        <v>1303424.98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43560.800000000003</v>
      </c>
      <c r="L263" s="19">
        <f>SUM(F263:K263)</f>
        <v>43560.800000000003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105000</v>
      </c>
      <c r="L265" s="19">
        <f t="shared" si="9"/>
        <v>105000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3594130.0799999996</v>
      </c>
      <c r="L270" s="41">
        <f t="shared" si="9"/>
        <v>3594130.0799999996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11896903.720000001</v>
      </c>
      <c r="G271" s="42">
        <f t="shared" si="11"/>
        <v>5265898.0999999996</v>
      </c>
      <c r="H271" s="42">
        <f t="shared" si="11"/>
        <v>2091662.55</v>
      </c>
      <c r="I271" s="42">
        <f t="shared" si="11"/>
        <v>702161.87000000011</v>
      </c>
      <c r="J271" s="42">
        <f t="shared" si="11"/>
        <v>300410.46999999997</v>
      </c>
      <c r="K271" s="42">
        <f t="shared" si="11"/>
        <v>3578179.01</v>
      </c>
      <c r="L271" s="42">
        <f t="shared" si="11"/>
        <v>23835215.719999999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2625.29</v>
      </c>
      <c r="G276" s="18">
        <v>0</v>
      </c>
      <c r="H276" s="18">
        <v>3000</v>
      </c>
      <c r="I276" s="18">
        <v>0</v>
      </c>
      <c r="J276" s="18">
        <v>0</v>
      </c>
      <c r="K276" s="18">
        <v>0</v>
      </c>
      <c r="L276" s="19">
        <f>SUM(F276:K276)</f>
        <v>5625.29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95360.7</v>
      </c>
      <c r="G277" s="18">
        <v>0</v>
      </c>
      <c r="H277" s="18">
        <v>3126.8</v>
      </c>
      <c r="I277" s="18">
        <v>0</v>
      </c>
      <c r="J277" s="18">
        <v>0</v>
      </c>
      <c r="K277" s="18">
        <v>0</v>
      </c>
      <c r="L277" s="19">
        <f>SUM(F277:K277)</f>
        <v>98487.5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97985.989999999991</v>
      </c>
      <c r="G290" s="42">
        <f t="shared" si="13"/>
        <v>0</v>
      </c>
      <c r="H290" s="42">
        <f t="shared" si="13"/>
        <v>6126.8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104112.79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v>0</v>
      </c>
      <c r="G298" s="18">
        <v>0</v>
      </c>
      <c r="H298" s="18">
        <v>0</v>
      </c>
      <c r="I298" s="18">
        <v>0</v>
      </c>
      <c r="J298" s="18">
        <v>0</v>
      </c>
      <c r="K298" s="18">
        <v>0</v>
      </c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6667.99</v>
      </c>
      <c r="G314" s="18">
        <v>0</v>
      </c>
      <c r="H314" s="18">
        <v>51737.16</v>
      </c>
      <c r="I314" s="18">
        <v>68418.320000000007</v>
      </c>
      <c r="J314" s="18">
        <v>0</v>
      </c>
      <c r="K314" s="18">
        <v>0</v>
      </c>
      <c r="L314" s="19">
        <f>SUM(F314:K314)</f>
        <v>126823.47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92489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>SUM(F315:K315)</f>
        <v>92489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10901.37</v>
      </c>
      <c r="G317" s="18">
        <v>0</v>
      </c>
      <c r="H317" s="18">
        <v>11299.3</v>
      </c>
      <c r="I317" s="18">
        <v>0</v>
      </c>
      <c r="J317" s="18">
        <v>0</v>
      </c>
      <c r="K317" s="18">
        <v>0</v>
      </c>
      <c r="L317" s="19">
        <f>SUM(F317:K317)</f>
        <v>22200.67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>
        <v>0</v>
      </c>
      <c r="G325" s="18">
        <v>0</v>
      </c>
      <c r="H325" s="18">
        <v>4218.21</v>
      </c>
      <c r="I325" s="18">
        <v>0</v>
      </c>
      <c r="J325" s="18">
        <v>0</v>
      </c>
      <c r="K325" s="18">
        <v>0</v>
      </c>
      <c r="L325" s="19">
        <f t="shared" si="16"/>
        <v>4218.21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110058.36</v>
      </c>
      <c r="G328" s="42">
        <f t="shared" si="17"/>
        <v>0</v>
      </c>
      <c r="H328" s="42">
        <f t="shared" si="17"/>
        <v>67254.670000000013</v>
      </c>
      <c r="I328" s="42">
        <f t="shared" si="17"/>
        <v>68418.320000000007</v>
      </c>
      <c r="J328" s="42">
        <f t="shared" si="17"/>
        <v>0</v>
      </c>
      <c r="K328" s="42">
        <f t="shared" si="17"/>
        <v>0</v>
      </c>
      <c r="L328" s="41">
        <f t="shared" si="17"/>
        <v>245731.35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208044.34999999998</v>
      </c>
      <c r="G338" s="41">
        <f t="shared" si="20"/>
        <v>0</v>
      </c>
      <c r="H338" s="41">
        <f t="shared" si="20"/>
        <v>73381.470000000016</v>
      </c>
      <c r="I338" s="41">
        <f t="shared" si="20"/>
        <v>68418.320000000007</v>
      </c>
      <c r="J338" s="41">
        <f t="shared" si="20"/>
        <v>0</v>
      </c>
      <c r="K338" s="41">
        <f t="shared" si="20"/>
        <v>0</v>
      </c>
      <c r="L338" s="41">
        <f t="shared" si="20"/>
        <v>349844.14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208044.34999999998</v>
      </c>
      <c r="G352" s="41">
        <f>G338</f>
        <v>0</v>
      </c>
      <c r="H352" s="41">
        <f>H338</f>
        <v>73381.470000000016</v>
      </c>
      <c r="I352" s="41">
        <f>I338</f>
        <v>68418.320000000007</v>
      </c>
      <c r="J352" s="41">
        <f>J338</f>
        <v>0</v>
      </c>
      <c r="K352" s="47">
        <f>K338+K351</f>
        <v>0</v>
      </c>
      <c r="L352" s="41">
        <f>L338+L351</f>
        <v>349844.14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65429.760000000002</v>
      </c>
      <c r="G358" s="18">
        <v>36493.300000000003</v>
      </c>
      <c r="H358" s="18">
        <v>177.55</v>
      </c>
      <c r="I358" s="18">
        <v>131521.15</v>
      </c>
      <c r="J358" s="18">
        <v>1788.34</v>
      </c>
      <c r="K358" s="18">
        <v>0</v>
      </c>
      <c r="L358" s="13">
        <f>SUM(F358:K358)</f>
        <v>235410.1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0</v>
      </c>
      <c r="G360" s="18">
        <v>0</v>
      </c>
      <c r="H360" s="18">
        <v>260822.5</v>
      </c>
      <c r="I360" s="18">
        <v>0</v>
      </c>
      <c r="J360" s="18">
        <v>5799.18</v>
      </c>
      <c r="K360" s="18">
        <v>0</v>
      </c>
      <c r="L360" s="19">
        <f>SUM(F360:K360)</f>
        <v>266621.68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65429.760000000002</v>
      </c>
      <c r="G362" s="47">
        <f t="shared" si="22"/>
        <v>36493.300000000003</v>
      </c>
      <c r="H362" s="47">
        <f t="shared" si="22"/>
        <v>261000.05</v>
      </c>
      <c r="I362" s="47">
        <f t="shared" si="22"/>
        <v>131521.15</v>
      </c>
      <c r="J362" s="47">
        <f t="shared" si="22"/>
        <v>7587.52</v>
      </c>
      <c r="K362" s="47">
        <f t="shared" si="22"/>
        <v>0</v>
      </c>
      <c r="L362" s="47">
        <f t="shared" si="22"/>
        <v>502031.78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124522.87</f>
        <v>124522.87</v>
      </c>
      <c r="G367" s="18"/>
      <c r="H367" s="18"/>
      <c r="I367" s="56">
        <f>SUM(F367:H367)</f>
        <v>124522.87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6116.15+882.13</f>
        <v>6998.28</v>
      </c>
      <c r="G368" s="63"/>
      <c r="H368" s="63"/>
      <c r="I368" s="56">
        <f>SUM(F368:H368)</f>
        <v>6998.28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131521.15</v>
      </c>
      <c r="G369" s="47">
        <f>SUM(G367:G368)</f>
        <v>0</v>
      </c>
      <c r="H369" s="47">
        <f>SUM(H367:H368)</f>
        <v>0</v>
      </c>
      <c r="I369" s="47">
        <f>SUM(I367:I368)</f>
        <v>131521.15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>
        <v>277.79000000000002</v>
      </c>
      <c r="I375" s="18"/>
      <c r="J375" s="18"/>
      <c r="K375" s="18"/>
      <c r="L375" s="13">
        <f t="shared" ref="L375:L381" si="23">SUM(F375:K375)</f>
        <v>277.79000000000002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277.79000000000002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277.79000000000002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0</v>
      </c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v>1552.51</v>
      </c>
      <c r="I400" s="18"/>
      <c r="J400" s="24" t="s">
        <v>289</v>
      </c>
      <c r="K400" s="24" t="s">
        <v>289</v>
      </c>
      <c r="L400" s="56">
        <f t="shared" si="26"/>
        <v>1552.51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1552.51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1552.51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1552.51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1552.51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>
        <v>2962.48</v>
      </c>
      <c r="I426" s="18"/>
      <c r="J426" s="18">
        <v>0</v>
      </c>
      <c r="K426" s="18"/>
      <c r="L426" s="56">
        <f t="shared" si="29"/>
        <v>2962.48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2962.48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2962.48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2962.48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2962.48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56125.57</v>
      </c>
      <c r="G439" s="18">
        <v>30022.11</v>
      </c>
      <c r="H439" s="18"/>
      <c r="I439" s="56">
        <f t="shared" ref="I439:I445" si="33">SUM(F439:H439)</f>
        <v>86147.68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56125.57</v>
      </c>
      <c r="G446" s="13">
        <f>SUM(G439:G445)</f>
        <v>30022.11</v>
      </c>
      <c r="H446" s="13">
        <f>SUM(H439:H445)</f>
        <v>0</v>
      </c>
      <c r="I446" s="13">
        <f>SUM(I439:I445)</f>
        <v>86147.68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56125.57</v>
      </c>
      <c r="G459" s="18">
        <v>30022.11</v>
      </c>
      <c r="H459" s="18"/>
      <c r="I459" s="56">
        <f t="shared" si="34"/>
        <v>86147.68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56125.57</v>
      </c>
      <c r="G460" s="83">
        <f>SUM(G454:G459)</f>
        <v>30022.11</v>
      </c>
      <c r="H460" s="83">
        <f>SUM(H454:H459)</f>
        <v>0</v>
      </c>
      <c r="I460" s="83">
        <f>SUM(I454:I459)</f>
        <v>86147.68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56125.57</v>
      </c>
      <c r="G461" s="42">
        <f>G452+G460</f>
        <v>30022.11</v>
      </c>
      <c r="H461" s="42">
        <f>H452+H460</f>
        <v>0</v>
      </c>
      <c r="I461" s="42">
        <f>I452+I460</f>
        <v>86147.68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361452.55</v>
      </c>
      <c r="G465" s="18">
        <v>-24776.97</v>
      </c>
      <c r="H465" s="18">
        <v>11864.32</v>
      </c>
      <c r="I465" s="18">
        <v>-29723.72</v>
      </c>
      <c r="J465" s="18">
        <v>87557.65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23799868.440000001</v>
      </c>
      <c r="G468" s="18">
        <v>474568.36</v>
      </c>
      <c r="H468" s="18">
        <v>348105.81</v>
      </c>
      <c r="I468" s="18">
        <v>105000</v>
      </c>
      <c r="J468" s="18">
        <v>1552.51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23799868.440000001</v>
      </c>
      <c r="G470" s="53">
        <f>SUM(G468:G469)</f>
        <v>474568.36</v>
      </c>
      <c r="H470" s="53">
        <f>SUM(H468:H469)</f>
        <v>348105.81</v>
      </c>
      <c r="I470" s="53">
        <f>SUM(I468:I469)</f>
        <v>105000</v>
      </c>
      <c r="J470" s="53">
        <f>SUM(J468:J469)</f>
        <v>1552.51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23835215.719999999</v>
      </c>
      <c r="G472" s="18">
        <v>502031.78</v>
      </c>
      <c r="H472" s="18">
        <v>349844.14</v>
      </c>
      <c r="I472" s="18">
        <v>277.79000000000002</v>
      </c>
      <c r="J472" s="18">
        <v>2962.48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23835215.719999999</v>
      </c>
      <c r="G474" s="53">
        <f>SUM(G472:G473)</f>
        <v>502031.78</v>
      </c>
      <c r="H474" s="53">
        <f>SUM(H472:H473)</f>
        <v>349844.14</v>
      </c>
      <c r="I474" s="53">
        <f>SUM(I472:I473)</f>
        <v>277.79000000000002</v>
      </c>
      <c r="J474" s="53">
        <f>SUM(J472:J473)</f>
        <v>2962.48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326105.27000000328</v>
      </c>
      <c r="G476" s="53">
        <f>(G465+G470)- G474</f>
        <v>-52240.390000000014</v>
      </c>
      <c r="H476" s="53">
        <f>(H465+H470)- H474</f>
        <v>10125.989999999991</v>
      </c>
      <c r="I476" s="53">
        <f>(I465+I470)- I474</f>
        <v>74998.490000000005</v>
      </c>
      <c r="J476" s="53">
        <f>(J465+J470)- J474</f>
        <v>86147.68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>
        <v>20</v>
      </c>
      <c r="H490" s="154">
        <v>20</v>
      </c>
      <c r="I490" s="154">
        <v>20</v>
      </c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 t="s">
        <v>913</v>
      </c>
      <c r="H491" s="154" t="s">
        <v>914</v>
      </c>
      <c r="I491" s="154" t="s">
        <v>915</v>
      </c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912</v>
      </c>
      <c r="G492" s="155" t="s">
        <v>916</v>
      </c>
      <c r="H492" s="154" t="s">
        <v>914</v>
      </c>
      <c r="I492" s="154" t="s">
        <v>915</v>
      </c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2532900</v>
      </c>
      <c r="G493" s="18">
        <v>4000000</v>
      </c>
      <c r="H493" s="18">
        <v>38460936</v>
      </c>
      <c r="I493" s="18">
        <v>1100000</v>
      </c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4.08</v>
      </c>
      <c r="G494" s="18">
        <v>4.47</v>
      </c>
      <c r="H494" s="18">
        <v>4.62</v>
      </c>
      <c r="I494" s="18">
        <v>4.71</v>
      </c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1392431</v>
      </c>
      <c r="G495" s="18">
        <v>1761078</v>
      </c>
      <c r="H495" s="18">
        <v>14336166</v>
      </c>
      <c r="I495" s="18">
        <v>440000</v>
      </c>
      <c r="J495" s="18"/>
      <c r="K495" s="53">
        <f>SUM(F495:J495)</f>
        <v>17929675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>
        <v>0</v>
      </c>
      <c r="H496" s="18">
        <v>0</v>
      </c>
      <c r="I496" s="18">
        <v>0</v>
      </c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136674</v>
      </c>
      <c r="G497" s="18">
        <v>197433</v>
      </c>
      <c r="H497" s="18">
        <v>1753037</v>
      </c>
      <c r="I497" s="18">
        <v>55000</v>
      </c>
      <c r="J497" s="18"/>
      <c r="K497" s="53">
        <f t="shared" si="35"/>
        <v>2142144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F495-F497</f>
        <v>1255757</v>
      </c>
      <c r="G498" s="204">
        <f t="shared" ref="G498:I498" si="36">G495-G497</f>
        <v>1563645</v>
      </c>
      <c r="H498" s="204">
        <f t="shared" si="36"/>
        <v>12583129</v>
      </c>
      <c r="I498" s="204">
        <f t="shared" si="36"/>
        <v>385000</v>
      </c>
      <c r="J498" s="204"/>
      <c r="K498" s="205">
        <f t="shared" si="35"/>
        <v>15787531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1050950</v>
      </c>
      <c r="G499" s="18">
        <v>1459489</v>
      </c>
      <c r="H499" s="18">
        <v>13712490</v>
      </c>
      <c r="I499" s="18">
        <v>67004</v>
      </c>
      <c r="J499" s="18"/>
      <c r="K499" s="53">
        <f t="shared" si="35"/>
        <v>16289933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2306707</v>
      </c>
      <c r="G500" s="42">
        <f>SUM(G498:G499)</f>
        <v>3023134</v>
      </c>
      <c r="H500" s="42">
        <f>SUM(H498:H499)</f>
        <v>26295619</v>
      </c>
      <c r="I500" s="42">
        <f>SUM(I498:I499)</f>
        <v>452004</v>
      </c>
      <c r="J500" s="42">
        <f>SUM(J498:J499)</f>
        <v>0</v>
      </c>
      <c r="K500" s="42">
        <f t="shared" si="35"/>
        <v>32077464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130602</v>
      </c>
      <c r="G501" s="204">
        <v>189177</v>
      </c>
      <c r="H501" s="204">
        <v>1670991</v>
      </c>
      <c r="I501" s="204">
        <v>55000</v>
      </c>
      <c r="J501" s="204"/>
      <c r="K501" s="205">
        <f t="shared" si="35"/>
        <v>2045770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60655</v>
      </c>
      <c r="G502" s="18">
        <v>91492</v>
      </c>
      <c r="H502" s="18">
        <v>1225921</v>
      </c>
      <c r="I502" s="18">
        <v>17641</v>
      </c>
      <c r="J502" s="18"/>
      <c r="K502" s="53">
        <f t="shared" si="35"/>
        <v>1395709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191257</v>
      </c>
      <c r="G503" s="42">
        <f>SUM(G501:G502)</f>
        <v>280669</v>
      </c>
      <c r="H503" s="42">
        <f>SUM(H501:H502)</f>
        <v>2896912</v>
      </c>
      <c r="I503" s="42">
        <f>SUM(I501:I502)</f>
        <v>72641</v>
      </c>
      <c r="J503" s="42">
        <f>SUM(J501:J502)</f>
        <v>0</v>
      </c>
      <c r="K503" s="42">
        <f t="shared" si="35"/>
        <v>3441479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800452.47</v>
      </c>
      <c r="G521" s="18">
        <v>142168.78</v>
      </c>
      <c r="H521" s="18">
        <v>10415.31</v>
      </c>
      <c r="I521" s="18">
        <v>4683.91</v>
      </c>
      <c r="J521" s="18">
        <v>1610.69</v>
      </c>
      <c r="K521" s="18">
        <v>0</v>
      </c>
      <c r="L521" s="88">
        <f>SUM(F521:K521)</f>
        <v>959331.16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0</v>
      </c>
      <c r="G522" s="18">
        <v>0</v>
      </c>
      <c r="H522" s="18">
        <v>0</v>
      </c>
      <c r="I522" s="18">
        <v>0</v>
      </c>
      <c r="J522" s="18">
        <v>0</v>
      </c>
      <c r="K522" s="18">
        <v>0</v>
      </c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996064.65</v>
      </c>
      <c r="G523" s="18">
        <v>134718.78</v>
      </c>
      <c r="H523" s="18">
        <v>51087.89</v>
      </c>
      <c r="I523" s="18">
        <v>14053.39</v>
      </c>
      <c r="J523" s="18">
        <v>11411.4</v>
      </c>
      <c r="K523" s="18">
        <v>0</v>
      </c>
      <c r="L523" s="88">
        <f>SUM(F523:K523)</f>
        <v>1207336.1099999996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1796517.12</v>
      </c>
      <c r="G524" s="108">
        <f t="shared" ref="G524:L524" si="37">SUM(G521:G523)</f>
        <v>276887.56</v>
      </c>
      <c r="H524" s="108">
        <f t="shared" si="37"/>
        <v>61503.199999999997</v>
      </c>
      <c r="I524" s="108">
        <f t="shared" si="37"/>
        <v>18737.3</v>
      </c>
      <c r="J524" s="108">
        <f t="shared" si="37"/>
        <v>13022.09</v>
      </c>
      <c r="K524" s="108">
        <f t="shared" si="37"/>
        <v>0</v>
      </c>
      <c r="L524" s="89">
        <f t="shared" si="37"/>
        <v>2166667.2699999996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0</v>
      </c>
      <c r="G526" s="18">
        <v>0</v>
      </c>
      <c r="H526" s="18">
        <v>10415.31</v>
      </c>
      <c r="I526" s="18">
        <v>0</v>
      </c>
      <c r="J526" s="18">
        <v>0</v>
      </c>
      <c r="K526" s="18">
        <v>0</v>
      </c>
      <c r="L526" s="88">
        <f>SUM(F526:K526)</f>
        <v>10415.31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0</v>
      </c>
      <c r="G527" s="18">
        <v>0</v>
      </c>
      <c r="H527" s="18">
        <v>0</v>
      </c>
      <c r="I527" s="18">
        <v>0</v>
      </c>
      <c r="J527" s="18">
        <v>0</v>
      </c>
      <c r="K527" s="18">
        <v>0</v>
      </c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0</v>
      </c>
      <c r="G528" s="18">
        <v>0</v>
      </c>
      <c r="H528" s="18">
        <v>50057.18</v>
      </c>
      <c r="I528" s="18">
        <v>0</v>
      </c>
      <c r="J528" s="18">
        <v>0</v>
      </c>
      <c r="K528" s="18">
        <v>0</v>
      </c>
      <c r="L528" s="88">
        <f>SUM(F528:K528)</f>
        <v>50057.18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60472.49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60472.49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29485</v>
      </c>
      <c r="G531" s="18">
        <v>10096</v>
      </c>
      <c r="H531" s="18">
        <v>974</v>
      </c>
      <c r="I531" s="18">
        <v>0</v>
      </c>
      <c r="J531" s="18">
        <v>0</v>
      </c>
      <c r="K531" s="18">
        <v>0</v>
      </c>
      <c r="L531" s="88">
        <f>SUM(F531:K531)</f>
        <v>40555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56022</v>
      </c>
      <c r="G532" s="18">
        <v>20892</v>
      </c>
      <c r="H532" s="18">
        <v>1851</v>
      </c>
      <c r="I532" s="18">
        <v>0</v>
      </c>
      <c r="J532" s="18">
        <v>0</v>
      </c>
      <c r="K532" s="18">
        <v>0</v>
      </c>
      <c r="L532" s="88">
        <f>SUM(F532:K532)</f>
        <v>78765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0</v>
      </c>
      <c r="G533" s="18">
        <v>0</v>
      </c>
      <c r="H533" s="18">
        <v>0</v>
      </c>
      <c r="I533" s="18">
        <v>0</v>
      </c>
      <c r="J533" s="18">
        <v>0</v>
      </c>
      <c r="K533" s="18">
        <v>0</v>
      </c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85507</v>
      </c>
      <c r="G534" s="89">
        <f t="shared" ref="G534:L534" si="39">SUM(G531:G533)</f>
        <v>30988</v>
      </c>
      <c r="H534" s="89">
        <f t="shared" si="39"/>
        <v>2825</v>
      </c>
      <c r="I534" s="89">
        <f t="shared" si="39"/>
        <v>0</v>
      </c>
      <c r="J534" s="89">
        <f t="shared" si="39"/>
        <v>0</v>
      </c>
      <c r="K534" s="89">
        <f t="shared" si="39"/>
        <v>0</v>
      </c>
      <c r="L534" s="89">
        <f t="shared" si="39"/>
        <v>119320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>
        <v>0</v>
      </c>
      <c r="G536" s="18">
        <v>0</v>
      </c>
      <c r="H536" s="18">
        <v>2875.8</v>
      </c>
      <c r="I536" s="18">
        <v>0</v>
      </c>
      <c r="J536" s="18">
        <v>0</v>
      </c>
      <c r="K536" s="18">
        <v>0</v>
      </c>
      <c r="L536" s="88">
        <f>SUM(F536:K536)</f>
        <v>2875.8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>
        <v>0</v>
      </c>
      <c r="G537" s="18">
        <v>0</v>
      </c>
      <c r="H537" s="18">
        <v>0</v>
      </c>
      <c r="I537" s="18">
        <v>0</v>
      </c>
      <c r="J537" s="18">
        <v>0</v>
      </c>
      <c r="K537" s="18">
        <v>0</v>
      </c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>
        <v>0</v>
      </c>
      <c r="G538" s="18">
        <v>0</v>
      </c>
      <c r="H538" s="18">
        <v>5838.75</v>
      </c>
      <c r="I538" s="18">
        <v>0</v>
      </c>
      <c r="J538" s="18">
        <v>0</v>
      </c>
      <c r="K538" s="18">
        <v>0</v>
      </c>
      <c r="L538" s="88">
        <f>SUM(F538:K538)</f>
        <v>5838.75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40">SUM(G536:G538)</f>
        <v>0</v>
      </c>
      <c r="H539" s="89">
        <f t="shared" si="40"/>
        <v>8714.5499999999993</v>
      </c>
      <c r="I539" s="89">
        <f t="shared" si="40"/>
        <v>0</v>
      </c>
      <c r="J539" s="89">
        <f t="shared" si="40"/>
        <v>0</v>
      </c>
      <c r="K539" s="89">
        <f t="shared" si="40"/>
        <v>0</v>
      </c>
      <c r="L539" s="89">
        <f t="shared" si="40"/>
        <v>8714.5499999999993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0</v>
      </c>
      <c r="G541" s="18">
        <v>0</v>
      </c>
      <c r="H541" s="18">
        <v>194.62</v>
      </c>
      <c r="I541" s="18">
        <v>0</v>
      </c>
      <c r="J541" s="18">
        <v>0</v>
      </c>
      <c r="K541" s="18">
        <v>0</v>
      </c>
      <c r="L541" s="88">
        <f>SUM(F541:K541)</f>
        <v>194.62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>
        <v>0</v>
      </c>
      <c r="G542" s="18">
        <v>0</v>
      </c>
      <c r="H542" s="18">
        <v>0</v>
      </c>
      <c r="I542" s="18">
        <v>0</v>
      </c>
      <c r="J542" s="18">
        <v>0</v>
      </c>
      <c r="K542" s="18">
        <v>0</v>
      </c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0</v>
      </c>
      <c r="G543" s="18">
        <v>0</v>
      </c>
      <c r="H543" s="18">
        <v>2573.44</v>
      </c>
      <c r="I543" s="18">
        <v>0</v>
      </c>
      <c r="J543" s="18">
        <v>0</v>
      </c>
      <c r="K543" s="18">
        <v>0</v>
      </c>
      <c r="L543" s="88">
        <f>SUM(F543:K543)</f>
        <v>2573.44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1">SUM(G541:G543)</f>
        <v>0</v>
      </c>
      <c r="H544" s="193">
        <f t="shared" si="41"/>
        <v>2768.06</v>
      </c>
      <c r="I544" s="193">
        <f t="shared" si="41"/>
        <v>0</v>
      </c>
      <c r="J544" s="193">
        <f t="shared" si="41"/>
        <v>0</v>
      </c>
      <c r="K544" s="193">
        <f t="shared" si="41"/>
        <v>0</v>
      </c>
      <c r="L544" s="193">
        <f t="shared" si="41"/>
        <v>2768.06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1882024.12</v>
      </c>
      <c r="G545" s="89">
        <f t="shared" ref="G545:L545" si="42">G524+G529+G534+G539+G544</f>
        <v>307875.56</v>
      </c>
      <c r="H545" s="89">
        <f t="shared" si="42"/>
        <v>136283.29999999999</v>
      </c>
      <c r="I545" s="89">
        <f t="shared" si="42"/>
        <v>18737.3</v>
      </c>
      <c r="J545" s="89">
        <f t="shared" si="42"/>
        <v>13022.09</v>
      </c>
      <c r="K545" s="89">
        <f t="shared" si="42"/>
        <v>0</v>
      </c>
      <c r="L545" s="89">
        <f t="shared" si="42"/>
        <v>2357942.3699999996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959331.16</v>
      </c>
      <c r="G549" s="87">
        <f>L526</f>
        <v>10415.31</v>
      </c>
      <c r="H549" s="87">
        <f>L531</f>
        <v>40555</v>
      </c>
      <c r="I549" s="87">
        <f>L536</f>
        <v>2875.8</v>
      </c>
      <c r="J549" s="87">
        <f>L541</f>
        <v>194.62</v>
      </c>
      <c r="K549" s="87">
        <f>SUM(F549:J549)</f>
        <v>1013371.8900000001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78765</v>
      </c>
      <c r="I550" s="87">
        <f>L537</f>
        <v>0</v>
      </c>
      <c r="J550" s="87">
        <f>L542</f>
        <v>0</v>
      </c>
      <c r="K550" s="87">
        <f>SUM(F550:J550)</f>
        <v>78765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1207336.1099999996</v>
      </c>
      <c r="G551" s="87">
        <f>L528</f>
        <v>50057.18</v>
      </c>
      <c r="H551" s="87">
        <f>L533</f>
        <v>0</v>
      </c>
      <c r="I551" s="87">
        <f>L538</f>
        <v>5838.75</v>
      </c>
      <c r="J551" s="87">
        <f>L543</f>
        <v>2573.44</v>
      </c>
      <c r="K551" s="87">
        <f>SUM(F551:J551)</f>
        <v>1265805.4799999995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3">SUM(F549:F551)</f>
        <v>2166667.2699999996</v>
      </c>
      <c r="G552" s="89">
        <f t="shared" si="43"/>
        <v>60472.49</v>
      </c>
      <c r="H552" s="89">
        <f t="shared" si="43"/>
        <v>119320</v>
      </c>
      <c r="I552" s="89">
        <f t="shared" si="43"/>
        <v>8714.5499999999993</v>
      </c>
      <c r="J552" s="89">
        <f t="shared" si="43"/>
        <v>2768.06</v>
      </c>
      <c r="K552" s="89">
        <f t="shared" si="43"/>
        <v>2357942.3699999996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4">SUM(F557:F559)</f>
        <v>0</v>
      </c>
      <c r="G560" s="108">
        <f t="shared" si="44"/>
        <v>0</v>
      </c>
      <c r="H560" s="108">
        <f t="shared" si="44"/>
        <v>0</v>
      </c>
      <c r="I560" s="108">
        <f t="shared" si="44"/>
        <v>0</v>
      </c>
      <c r="J560" s="108">
        <f t="shared" si="44"/>
        <v>0</v>
      </c>
      <c r="K560" s="108">
        <f t="shared" si="44"/>
        <v>0</v>
      </c>
      <c r="L560" s="89">
        <f t="shared" si="44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5">SUM(F562:F564)</f>
        <v>0</v>
      </c>
      <c r="G565" s="89">
        <f t="shared" si="45"/>
        <v>0</v>
      </c>
      <c r="H565" s="89">
        <f t="shared" si="45"/>
        <v>0</v>
      </c>
      <c r="I565" s="89">
        <f t="shared" si="45"/>
        <v>0</v>
      </c>
      <c r="J565" s="89">
        <f t="shared" si="45"/>
        <v>0</v>
      </c>
      <c r="K565" s="89">
        <f t="shared" si="45"/>
        <v>0</v>
      </c>
      <c r="L565" s="89">
        <f t="shared" si="45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6">SUM(G567:G569)</f>
        <v>0</v>
      </c>
      <c r="H570" s="193">
        <f t="shared" si="46"/>
        <v>0</v>
      </c>
      <c r="I570" s="193">
        <f t="shared" si="46"/>
        <v>0</v>
      </c>
      <c r="J570" s="193">
        <f t="shared" si="46"/>
        <v>0</v>
      </c>
      <c r="K570" s="193">
        <f t="shared" si="46"/>
        <v>0</v>
      </c>
      <c r="L570" s="193">
        <f t="shared" si="46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7">G560+G565+G570</f>
        <v>0</v>
      </c>
      <c r="H571" s="89">
        <f t="shared" si="47"/>
        <v>0</v>
      </c>
      <c r="I571" s="89">
        <f t="shared" si="47"/>
        <v>0</v>
      </c>
      <c r="J571" s="89">
        <f t="shared" si="47"/>
        <v>0</v>
      </c>
      <c r="K571" s="89">
        <f t="shared" si="47"/>
        <v>0</v>
      </c>
      <c r="L571" s="89">
        <f t="shared" si="47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8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8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8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8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8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8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8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8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8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>
        <v>72259.17</v>
      </c>
      <c r="I585" s="87">
        <f t="shared" si="48"/>
        <v>72259.17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8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8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0</v>
      </c>
      <c r="I591" s="18">
        <v>0</v>
      </c>
      <c r="J591" s="18">
        <v>0</v>
      </c>
      <c r="K591" s="104">
        <f t="shared" ref="K591:K597" si="49">SUM(H591:J591)</f>
        <v>0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194.62</v>
      </c>
      <c r="I592" s="18">
        <v>0</v>
      </c>
      <c r="J592" s="18">
        <v>2573.44</v>
      </c>
      <c r="K592" s="104">
        <f t="shared" si="49"/>
        <v>2768.06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>
        <v>0</v>
      </c>
      <c r="I593" s="18">
        <v>0</v>
      </c>
      <c r="J593" s="18">
        <v>19507.63</v>
      </c>
      <c r="K593" s="104">
        <f t="shared" si="49"/>
        <v>19507.63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0</v>
      </c>
      <c r="I594" s="18">
        <v>0</v>
      </c>
      <c r="J594" s="18">
        <v>129557.43</v>
      </c>
      <c r="K594" s="104">
        <f t="shared" si="49"/>
        <v>129557.43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2890.4</v>
      </c>
      <c r="I595" s="18">
        <v>0</v>
      </c>
      <c r="J595" s="18">
        <v>15422.25</v>
      </c>
      <c r="K595" s="104">
        <f t="shared" si="49"/>
        <v>18312.650000000001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>
        <v>5574.28</v>
      </c>
      <c r="I596" s="18">
        <v>0</v>
      </c>
      <c r="J596" s="18">
        <v>0</v>
      </c>
      <c r="K596" s="104">
        <f t="shared" si="49"/>
        <v>5574.28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0</v>
      </c>
      <c r="I597" s="18">
        <v>0</v>
      </c>
      <c r="J597" s="18">
        <v>0</v>
      </c>
      <c r="K597" s="104">
        <f t="shared" si="49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8659.2999999999993</v>
      </c>
      <c r="I598" s="108">
        <f>SUM(I591:I597)</f>
        <v>0</v>
      </c>
      <c r="J598" s="108">
        <f>SUM(J591:J597)</f>
        <v>167060.75</v>
      </c>
      <c r="K598" s="108">
        <f>SUM(K591:K597)</f>
        <v>175720.05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105769.58</v>
      </c>
      <c r="I604" s="18"/>
      <c r="J604" s="18">
        <v>194640.89</v>
      </c>
      <c r="K604" s="104">
        <f>SUM(H604:J604)</f>
        <v>300410.47000000003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105769.58</v>
      </c>
      <c r="I605" s="108">
        <f>SUM(I602:I604)</f>
        <v>0</v>
      </c>
      <c r="J605" s="108">
        <f>SUM(J602:J604)</f>
        <v>194640.89</v>
      </c>
      <c r="K605" s="108">
        <f>SUM(K602:K604)</f>
        <v>300410.47000000003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8773.84</v>
      </c>
      <c r="G611" s="18">
        <v>2807.63</v>
      </c>
      <c r="H611" s="18">
        <v>4293</v>
      </c>
      <c r="I611" s="18"/>
      <c r="J611" s="18"/>
      <c r="K611" s="18"/>
      <c r="L611" s="88">
        <f>SUM(F611:K611)</f>
        <v>15874.470000000001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7534.65</v>
      </c>
      <c r="G613" s="18">
        <v>2411.09</v>
      </c>
      <c r="H613" s="18">
        <v>11334.7</v>
      </c>
      <c r="I613" s="18"/>
      <c r="J613" s="18"/>
      <c r="K613" s="18"/>
      <c r="L613" s="88">
        <f>SUM(F613:K613)</f>
        <v>21280.440000000002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50">SUM(F611:F613)</f>
        <v>16308.49</v>
      </c>
      <c r="G614" s="108">
        <f t="shared" si="50"/>
        <v>5218.72</v>
      </c>
      <c r="H614" s="108">
        <f t="shared" si="50"/>
        <v>15627.7</v>
      </c>
      <c r="I614" s="108">
        <f t="shared" si="50"/>
        <v>0</v>
      </c>
      <c r="J614" s="108">
        <f t="shared" si="50"/>
        <v>0</v>
      </c>
      <c r="K614" s="108">
        <f t="shared" si="50"/>
        <v>0</v>
      </c>
      <c r="L614" s="89">
        <f t="shared" si="50"/>
        <v>37154.910000000003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587865.07999999996</v>
      </c>
      <c r="H617" s="109">
        <f>SUM(F52)</f>
        <v>587865.08000000007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452.21000000000004</v>
      </c>
      <c r="H618" s="109">
        <f>SUM(G52)</f>
        <v>452.2100000000064</v>
      </c>
      <c r="I618" s="121" t="s">
        <v>892</v>
      </c>
      <c r="J618" s="109">
        <f>G618-H618</f>
        <v>-6.3664629124104977E-12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65648.44</v>
      </c>
      <c r="H619" s="109">
        <f>SUM(H52)</f>
        <v>65648.44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86147.68</v>
      </c>
      <c r="H621" s="109">
        <f>SUM(J52)</f>
        <v>86147.68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326105.27</v>
      </c>
      <c r="H622" s="109">
        <f>F476</f>
        <v>326105.27000000328</v>
      </c>
      <c r="I622" s="121" t="s">
        <v>101</v>
      </c>
      <c r="J622" s="109">
        <f t="shared" ref="J622:J655" si="51">G622-H622</f>
        <v>-3.2596290111541748E-9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-52240.39</v>
      </c>
      <c r="H623" s="109">
        <f>G476</f>
        <v>-52240.390000000014</v>
      </c>
      <c r="I623" s="121" t="s">
        <v>102</v>
      </c>
      <c r="J623" s="109">
        <f t="shared" si="51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10125.99</v>
      </c>
      <c r="H624" s="109">
        <f>H476</f>
        <v>10125.989999999991</v>
      </c>
      <c r="I624" s="121" t="s">
        <v>103</v>
      </c>
      <c r="J624" s="109">
        <f t="shared" si="51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74998.490000000005</v>
      </c>
      <c r="H625" s="109">
        <f>I476</f>
        <v>74998.490000000005</v>
      </c>
      <c r="I625" s="121" t="s">
        <v>104</v>
      </c>
      <c r="J625" s="109">
        <f t="shared" si="51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86147.68</v>
      </c>
      <c r="H626" s="109">
        <f>J476</f>
        <v>86147.68</v>
      </c>
      <c r="I626" s="140" t="s">
        <v>105</v>
      </c>
      <c r="J626" s="109">
        <f t="shared" si="51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23799868.440000001</v>
      </c>
      <c r="H627" s="104">
        <f>SUM(F468)</f>
        <v>23799868.440000001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474568.36</v>
      </c>
      <c r="H628" s="104">
        <f>SUM(G468)</f>
        <v>474568.36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348105.81</v>
      </c>
      <c r="H629" s="104">
        <f>SUM(H468)</f>
        <v>348105.81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105000</v>
      </c>
      <c r="H630" s="104">
        <f>SUM(I468)</f>
        <v>105000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1552.51</v>
      </c>
      <c r="H631" s="104">
        <f>SUM(J468)</f>
        <v>1552.51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23835215.719999999</v>
      </c>
      <c r="H632" s="104">
        <f>SUM(F472)</f>
        <v>23835215.719999999</v>
      </c>
      <c r="I632" s="140" t="s">
        <v>111</v>
      </c>
      <c r="J632" s="109">
        <f t="shared" si="51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349844.14</v>
      </c>
      <c r="H633" s="104">
        <f>SUM(H472)</f>
        <v>349844.14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131521.15</v>
      </c>
      <c r="H634" s="104">
        <f>I369</f>
        <v>131521.15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502031.78</v>
      </c>
      <c r="H635" s="104">
        <f>SUM(G472)</f>
        <v>502031.78</v>
      </c>
      <c r="I635" s="140" t="s">
        <v>114</v>
      </c>
      <c r="J635" s="109">
        <f t="shared" si="51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277.79000000000002</v>
      </c>
      <c r="H636" s="104">
        <f>SUM(I472)</f>
        <v>277.79000000000002</v>
      </c>
      <c r="I636" s="140" t="s">
        <v>116</v>
      </c>
      <c r="J636" s="109">
        <f t="shared" si="51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1552.51</v>
      </c>
      <c r="H637" s="164">
        <f>SUM(J468)</f>
        <v>1552.51</v>
      </c>
      <c r="I637" s="165" t="s">
        <v>110</v>
      </c>
      <c r="J637" s="151">
        <f t="shared" si="51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2962.48</v>
      </c>
      <c r="H638" s="164">
        <f>SUM(J472)</f>
        <v>2962.48</v>
      </c>
      <c r="I638" s="165" t="s">
        <v>117</v>
      </c>
      <c r="J638" s="151">
        <f t="shared" si="51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56125.57</v>
      </c>
      <c r="H639" s="104">
        <f>SUM(F461)</f>
        <v>56125.57</v>
      </c>
      <c r="I639" s="140" t="s">
        <v>857</v>
      </c>
      <c r="J639" s="109">
        <f t="shared" si="51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30022.11</v>
      </c>
      <c r="H640" s="104">
        <f>SUM(G461)</f>
        <v>30022.11</v>
      </c>
      <c r="I640" s="140" t="s">
        <v>858</v>
      </c>
      <c r="J640" s="109">
        <f t="shared" si="51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1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86147.68</v>
      </c>
      <c r="H642" s="104">
        <f>SUM(I461)</f>
        <v>86147.68</v>
      </c>
      <c r="I642" s="140" t="s">
        <v>860</v>
      </c>
      <c r="J642" s="109">
        <f t="shared" si="51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1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1552.51</v>
      </c>
      <c r="H644" s="104">
        <f>H408</f>
        <v>1552.51</v>
      </c>
      <c r="I644" s="140" t="s">
        <v>481</v>
      </c>
      <c r="J644" s="109">
        <f t="shared" si="51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1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1552.51</v>
      </c>
      <c r="H646" s="104">
        <f>L408</f>
        <v>1552.51</v>
      </c>
      <c r="I646" s="140" t="s">
        <v>478</v>
      </c>
      <c r="J646" s="109">
        <f t="shared" si="51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175720.05</v>
      </c>
      <c r="H647" s="104">
        <f>L208+L226+L244</f>
        <v>175720.05</v>
      </c>
      <c r="I647" s="140" t="s">
        <v>397</v>
      </c>
      <c r="J647" s="109">
        <f t="shared" si="51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300410.47000000003</v>
      </c>
      <c r="H648" s="104">
        <f>(J257+J338)-(J255+J336)</f>
        <v>300410.46999999997</v>
      </c>
      <c r="I648" s="140" t="s">
        <v>703</v>
      </c>
      <c r="J648" s="109">
        <f t="shared" si="51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8659.2999999999993</v>
      </c>
      <c r="H649" s="104">
        <f>H598</f>
        <v>8659.2999999999993</v>
      </c>
      <c r="I649" s="140" t="s">
        <v>389</v>
      </c>
      <c r="J649" s="109">
        <f t="shared" si="51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1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167060.75</v>
      </c>
      <c r="H651" s="104">
        <f>J598</f>
        <v>167060.75</v>
      </c>
      <c r="I651" s="140" t="s">
        <v>391</v>
      </c>
      <c r="J651" s="109">
        <f t="shared" si="51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43560.800000000003</v>
      </c>
      <c r="H652" s="104">
        <f>K263+K345</f>
        <v>43560.800000000003</v>
      </c>
      <c r="I652" s="140" t="s">
        <v>398</v>
      </c>
      <c r="J652" s="109">
        <f t="shared" si="51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1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105000</v>
      </c>
      <c r="H654" s="104">
        <f>K265+K346</f>
        <v>105000</v>
      </c>
      <c r="I654" s="140" t="s">
        <v>400</v>
      </c>
      <c r="J654" s="109">
        <f t="shared" si="51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1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7113736.2399999984</v>
      </c>
      <c r="G660" s="19">
        <f>(L229+L309+L359)</f>
        <v>0</v>
      </c>
      <c r="H660" s="19">
        <f>(L247+L328+L360)</f>
        <v>13906430.060000001</v>
      </c>
      <c r="I660" s="19">
        <f>SUM(F660:H660)</f>
        <v>21020166.299999997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201765.09718966199</v>
      </c>
      <c r="G661" s="19">
        <f>(L359/IF(SUM(L358:L360)=0,1,SUM(L358:L360))*(SUM(G97:G110)))</f>
        <v>0</v>
      </c>
      <c r="H661" s="19">
        <f>(L360/IF(SUM(L358:L360)=0,1,SUM(L358:L360))*(SUM(G97:G110)))</f>
        <v>228515.892810338</v>
      </c>
      <c r="I661" s="19">
        <f>SUM(F661:H661)</f>
        <v>430280.99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8659.2999999999993</v>
      </c>
      <c r="G662" s="19">
        <f>(L226+L306)-(J226+J306)</f>
        <v>0</v>
      </c>
      <c r="H662" s="19">
        <f>(L244+L325)-(J244+J325)</f>
        <v>171278.96</v>
      </c>
      <c r="I662" s="19">
        <f>SUM(F662:H662)</f>
        <v>179938.25999999998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121644.05</v>
      </c>
      <c r="G663" s="199">
        <f>SUM(G575:G587)+SUM(I602:I604)+L612</f>
        <v>0</v>
      </c>
      <c r="H663" s="199">
        <f>SUM(H575:H587)+SUM(J602:J604)+L613</f>
        <v>288180.5</v>
      </c>
      <c r="I663" s="19">
        <f>SUM(F663:H663)</f>
        <v>409824.55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6781667.7928103367</v>
      </c>
      <c r="G664" s="19">
        <f>G660-SUM(G661:G663)</f>
        <v>0</v>
      </c>
      <c r="H664" s="19">
        <f>H660-SUM(H661:H663)</f>
        <v>13218454.707189662</v>
      </c>
      <c r="I664" s="19">
        <f>I660-SUM(I661:I663)</f>
        <v>20000122.499999996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392.54</v>
      </c>
      <c r="G665" s="248"/>
      <c r="H665" s="248">
        <v>715.44</v>
      </c>
      <c r="I665" s="19">
        <f>SUM(F665:H665)</f>
        <v>1107.98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17276.37</v>
      </c>
      <c r="G667" s="19" t="e">
        <f>ROUND(G664/G665,2)</f>
        <v>#DIV/0!</v>
      </c>
      <c r="H667" s="19">
        <f>ROUND(H664/H665,2)</f>
        <v>18475.98</v>
      </c>
      <c r="I667" s="19">
        <f>ROUND(I664/I665,2)</f>
        <v>18050.98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-3.1</v>
      </c>
      <c r="I670" s="19">
        <f>SUM(F670:H670)</f>
        <v>-3.1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17276.37</v>
      </c>
      <c r="G672" s="19" t="e">
        <f>ROUND((G664+G669)/(G665+G670),2)</f>
        <v>#DIV/0!</v>
      </c>
      <c r="H672" s="19">
        <f>ROUND((H664+H669)/(H665+H670),2)</f>
        <v>18556.38</v>
      </c>
      <c r="I672" s="19">
        <f>ROUND((I664+I669)/(I665+I670),2)</f>
        <v>18101.62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75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6" zoomScale="125" zoomScaleNormal="125" zoomScalePageLayoutView="125" workbookViewId="0">
      <selection activeCell="C37" sqref="C37:C39"/>
    </sheetView>
  </sheetViews>
  <sheetFormatPr defaultColWidth="9" defaultRowHeight="11.25" x14ac:dyDescent="0.2"/>
  <cols>
    <col min="1" max="1" width="26.6640625" customWidth="1"/>
    <col min="2" max="2" width="33.83203125" customWidth="1"/>
    <col min="3" max="3" width="29.33203125" customWidth="1"/>
  </cols>
  <sheetData>
    <row r="1" spans="1:3" x14ac:dyDescent="0.2">
      <c r="A1" s="233" t="s">
        <v>785</v>
      </c>
      <c r="B1" s="232" t="str">
        <f>'DOE25'!A2</f>
        <v>Dresden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6869315.6799999997</v>
      </c>
      <c r="C9" s="229">
        <f>'DOE25'!G197+'DOE25'!G215+'DOE25'!G233+'DOE25'!G276+'DOE25'!G295+'DOE25'!G314</f>
        <v>2368363.0099999998</v>
      </c>
    </row>
    <row r="10" spans="1:3" x14ac:dyDescent="0.2">
      <c r="A10" t="s">
        <v>779</v>
      </c>
      <c r="B10" s="240">
        <v>6304821.6399999997</v>
      </c>
      <c r="C10" s="240">
        <f>B10/B13*C9</f>
        <v>2173740.0131862243</v>
      </c>
    </row>
    <row r="11" spans="1:3" x14ac:dyDescent="0.2">
      <c r="A11" t="s">
        <v>780</v>
      </c>
      <c r="B11" s="240">
        <v>396637.14</v>
      </c>
      <c r="C11" s="240">
        <f>B11/B13*C9</f>
        <v>136750.26371305028</v>
      </c>
    </row>
    <row r="12" spans="1:3" x14ac:dyDescent="0.2">
      <c r="A12" t="s">
        <v>781</v>
      </c>
      <c r="B12" s="240">
        <f>B9-B10-B11</f>
        <v>167856.90000000002</v>
      </c>
      <c r="C12" s="240">
        <f>B12/B13*C9</f>
        <v>57872.733100725549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6869315.6799999997</v>
      </c>
      <c r="C13" s="231">
        <f>SUM(C10:C12)</f>
        <v>2368363.0099999998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1796517.1199999999</v>
      </c>
      <c r="C18" s="229">
        <f>'DOE25'!G198+'DOE25'!G216+'DOE25'!G234+'DOE25'!G277+'DOE25'!G296+'DOE25'!G315</f>
        <v>865273.62</v>
      </c>
    </row>
    <row r="19" spans="1:3" x14ac:dyDescent="0.2">
      <c r="A19" t="s">
        <v>779</v>
      </c>
      <c r="B19" s="240">
        <v>1160462.05</v>
      </c>
      <c r="C19" s="240">
        <f>B19/B22*C18</f>
        <v>558924.36965817562</v>
      </c>
    </row>
    <row r="20" spans="1:3" x14ac:dyDescent="0.2">
      <c r="A20" t="s">
        <v>780</v>
      </c>
      <c r="B20" s="240">
        <v>618285.27</v>
      </c>
      <c r="C20" s="240">
        <f>B20/B22*C18</f>
        <v>297790.61263027508</v>
      </c>
    </row>
    <row r="21" spans="1:3" x14ac:dyDescent="0.2">
      <c r="A21" t="s">
        <v>781</v>
      </c>
      <c r="B21" s="240">
        <f>B18-B19-B20</f>
        <v>17769.799999999814</v>
      </c>
      <c r="C21" s="240">
        <f>B21/B22*C18</f>
        <v>8558.6377115492451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1796517.1199999999</v>
      </c>
      <c r="C22" s="231">
        <f>SUM(C19:C21)</f>
        <v>865273.62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451897.11</v>
      </c>
      <c r="C36" s="235">
        <f>'DOE25'!G200+'DOE25'!G218+'DOE25'!G236+'DOE25'!G279+'DOE25'!G298+'DOE25'!G317</f>
        <v>119774.14</v>
      </c>
    </row>
    <row r="37" spans="1:3" x14ac:dyDescent="0.2">
      <c r="A37" t="s">
        <v>779</v>
      </c>
      <c r="B37" s="240">
        <v>232317.87</v>
      </c>
      <c r="C37" s="240">
        <f>B37/B40*C36</f>
        <v>61575.240182177316</v>
      </c>
    </row>
    <row r="38" spans="1:3" x14ac:dyDescent="0.2">
      <c r="A38" t="s">
        <v>780</v>
      </c>
      <c r="B38" s="240">
        <v>45086.559999999998</v>
      </c>
      <c r="C38" s="240">
        <f>B38/B40*C36</f>
        <v>11950.074098854937</v>
      </c>
    </row>
    <row r="39" spans="1:3" x14ac:dyDescent="0.2">
      <c r="A39" t="s">
        <v>781</v>
      </c>
      <c r="B39" s="240">
        <f>B36-B37-B38</f>
        <v>174492.68</v>
      </c>
      <c r="C39" s="240">
        <f>B39/B40*C36</f>
        <v>46248.825718967753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451897.11</v>
      </c>
      <c r="C40" s="231">
        <f>SUM(C37:C39)</f>
        <v>119774.14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/>
  <headerFooter alignWithMargins="0">
    <oddHeader>&amp;C&amp;A
FY2013-2014</oddHeader>
    <oddFooter>&amp;CPage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  <pageSetUpPr fitToPage="1"/>
  </sheetPr>
  <dimension ref="A1:I51"/>
  <sheetViews>
    <sheetView zoomScale="125" zoomScaleNormal="125" zoomScalePageLayoutView="125" workbookViewId="0">
      <pane ySplit="4" topLeftCell="A5" activePane="bottomLeft" state="frozen"/>
      <selection activeCell="F46" sqref="F46"/>
      <selection pane="bottomLeft" activeCell="D12" sqref="D12"/>
    </sheetView>
  </sheetViews>
  <sheetFormatPr defaultColWidth="9" defaultRowHeight="11.25" x14ac:dyDescent="0.2"/>
  <cols>
    <col min="1" max="1" width="10.83203125" customWidth="1"/>
    <col min="2" max="2" width="41.1640625" customWidth="1"/>
    <col min="3" max="3" width="13.33203125" bestFit="1" customWidth="1"/>
    <col min="4" max="5" width="17.83203125" customWidth="1"/>
    <col min="6" max="6" width="22.3320312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Dresden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13229859.369999997</v>
      </c>
      <c r="D5" s="20">
        <f>SUM('DOE25'!L197:L200)+SUM('DOE25'!L215:L218)+SUM('DOE25'!L233:L236)-F5-G5</f>
        <v>12946844.809999997</v>
      </c>
      <c r="E5" s="243"/>
      <c r="F5" s="255">
        <f>SUM('DOE25'!J197:J200)+SUM('DOE25'!J215:J218)+SUM('DOE25'!J233:J236)</f>
        <v>275183.49</v>
      </c>
      <c r="G5" s="53">
        <f>SUM('DOE25'!K197:K200)+SUM('DOE25'!K215:K218)+SUM('DOE25'!K233:K236)</f>
        <v>7831.0699999999988</v>
      </c>
      <c r="H5" s="259"/>
    </row>
    <row r="6" spans="1:9" x14ac:dyDescent="0.2">
      <c r="A6" s="32">
        <v>2100</v>
      </c>
      <c r="B6" t="s">
        <v>801</v>
      </c>
      <c r="C6" s="245">
        <f t="shared" si="0"/>
        <v>1246032.76</v>
      </c>
      <c r="D6" s="20">
        <f>'DOE25'!L202+'DOE25'!L220+'DOE25'!L238-F6-G6</f>
        <v>1244895.29</v>
      </c>
      <c r="E6" s="243"/>
      <c r="F6" s="255">
        <f>'DOE25'!J202+'DOE25'!J220+'DOE25'!J238</f>
        <v>682.47</v>
      </c>
      <c r="G6" s="53">
        <f>'DOE25'!K202+'DOE25'!K220+'DOE25'!K238</f>
        <v>455</v>
      </c>
      <c r="H6" s="259"/>
    </row>
    <row r="7" spans="1:9" x14ac:dyDescent="0.2">
      <c r="A7" s="32">
        <v>2200</v>
      </c>
      <c r="B7" t="s">
        <v>834</v>
      </c>
      <c r="C7" s="245">
        <f t="shared" si="0"/>
        <v>630416.08000000007</v>
      </c>
      <c r="D7" s="20">
        <f>'DOE25'!L203+'DOE25'!L221+'DOE25'!L239-F7-G7</f>
        <v>609210.01000000013</v>
      </c>
      <c r="E7" s="243"/>
      <c r="F7" s="255">
        <f>'DOE25'!J203+'DOE25'!J221+'DOE25'!J239</f>
        <v>20686.07</v>
      </c>
      <c r="G7" s="53">
        <f>'DOE25'!K203+'DOE25'!K221+'DOE25'!K239</f>
        <v>520</v>
      </c>
      <c r="H7" s="259"/>
    </row>
    <row r="8" spans="1:9" x14ac:dyDescent="0.2">
      <c r="A8" s="32">
        <v>2300</v>
      </c>
      <c r="B8" t="s">
        <v>802</v>
      </c>
      <c r="C8" s="245">
        <f t="shared" si="0"/>
        <v>681476.99999999988</v>
      </c>
      <c r="D8" s="243"/>
      <c r="E8" s="20">
        <f>'DOE25'!L204+'DOE25'!L222+'DOE25'!L240-F8-G8-D9-D11</f>
        <v>672048.1399999999</v>
      </c>
      <c r="F8" s="255">
        <f>'DOE25'!J204+'DOE25'!J222+'DOE25'!J240</f>
        <v>0</v>
      </c>
      <c r="G8" s="53">
        <f>'DOE25'!K204+'DOE25'!K222+'DOE25'!K240</f>
        <v>9428.86</v>
      </c>
      <c r="H8" s="259"/>
    </row>
    <row r="9" spans="1:9" x14ac:dyDescent="0.2">
      <c r="A9" s="32">
        <v>2310</v>
      </c>
      <c r="B9" t="s">
        <v>818</v>
      </c>
      <c r="C9" s="245">
        <f t="shared" si="0"/>
        <v>91794.69</v>
      </c>
      <c r="D9" s="244">
        <v>91794.69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13205</v>
      </c>
      <c r="D10" s="243"/>
      <c r="E10" s="244">
        <v>13205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170673</v>
      </c>
      <c r="D11" s="244">
        <v>170673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1944201.65</v>
      </c>
      <c r="D12" s="20">
        <f>'DOE25'!L205+'DOE25'!L223+'DOE25'!L241-F12-G12</f>
        <v>1937779.68</v>
      </c>
      <c r="E12" s="243"/>
      <c r="F12" s="255">
        <f>'DOE25'!J205+'DOE25'!J223+'DOE25'!J241</f>
        <v>607.97</v>
      </c>
      <c r="G12" s="53">
        <f>'DOE25'!K205+'DOE25'!K223+'DOE25'!K241</f>
        <v>5814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1998115.78</v>
      </c>
      <c r="D14" s="20">
        <f>'DOE25'!L207+'DOE25'!L225+'DOE25'!L243-F14-G14</f>
        <v>2034865.31</v>
      </c>
      <c r="E14" s="243"/>
      <c r="F14" s="255">
        <f>'DOE25'!J207+'DOE25'!J225+'DOE25'!J243</f>
        <v>3250.4700000000003</v>
      </c>
      <c r="G14" s="53">
        <f>'DOE25'!K207+'DOE25'!K225+'DOE25'!K243</f>
        <v>-40000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175720.05</v>
      </c>
      <c r="D15" s="20">
        <f>'DOE25'!L208+'DOE25'!L226+'DOE25'!L244-F15-G15</f>
        <v>175720.05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72795.259999999995</v>
      </c>
      <c r="D22" s="243"/>
      <c r="E22" s="243"/>
      <c r="F22" s="255">
        <f>'DOE25'!L255+'DOE25'!L336</f>
        <v>72795.259999999995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3445569.28</v>
      </c>
      <c r="D25" s="243"/>
      <c r="E25" s="243"/>
      <c r="F25" s="258"/>
      <c r="G25" s="256"/>
      <c r="H25" s="257">
        <f>'DOE25'!L260+'DOE25'!L261+'DOE25'!L341+'DOE25'!L342</f>
        <v>3445569.28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377508.91000000003</v>
      </c>
      <c r="D29" s="20">
        <f>'DOE25'!L358+'DOE25'!L359+'DOE25'!L360-'DOE25'!I367-F29-G29</f>
        <v>369921.39</v>
      </c>
      <c r="E29" s="243"/>
      <c r="F29" s="255">
        <f>'DOE25'!J358+'DOE25'!J359+'DOE25'!J360</f>
        <v>7587.52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349844.14</v>
      </c>
      <c r="D31" s="20">
        <f>'DOE25'!L290+'DOE25'!L309+'DOE25'!L328+'DOE25'!L333+'DOE25'!L334+'DOE25'!L335-F31-G31</f>
        <v>349844.14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19931548.369999997</v>
      </c>
      <c r="E33" s="246">
        <f>SUM(E5:E31)</f>
        <v>685253.1399999999</v>
      </c>
      <c r="F33" s="246">
        <f>SUM(F5:F31)</f>
        <v>380793.24999999994</v>
      </c>
      <c r="G33" s="246">
        <f>SUM(G5:G31)</f>
        <v>-15951.07</v>
      </c>
      <c r="H33" s="246">
        <f>SUM(H5:H31)</f>
        <v>3445569.28</v>
      </c>
    </row>
    <row r="35" spans="2:8" ht="12" thickBot="1" x14ac:dyDescent="0.25">
      <c r="B35" s="253" t="s">
        <v>847</v>
      </c>
      <c r="D35" s="254">
        <f>E33</f>
        <v>685253.1399999999</v>
      </c>
      <c r="E35" s="249"/>
    </row>
    <row r="36" spans="2:8" ht="12" thickTop="1" x14ac:dyDescent="0.2">
      <c r="B36" t="s">
        <v>815</v>
      </c>
      <c r="D36" s="20">
        <f>D33</f>
        <v>19931548.369999997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scale="89" orientation="landscape"/>
  <headerFooter alignWithMargins="0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125" zoomScaleNormal="125" zoomScalePageLayoutView="125" workbookViewId="0">
      <pane ySplit="2" topLeftCell="A3" activePane="bottomLeft" state="frozen"/>
      <selection activeCell="F46" sqref="F46"/>
      <selection pane="bottomLeft" activeCell="C45" sqref="C45"/>
    </sheetView>
  </sheetViews>
  <sheetFormatPr defaultColWidth="9" defaultRowHeight="11.25" x14ac:dyDescent="0.2"/>
  <cols>
    <col min="1" max="1" width="52.83203125" customWidth="1"/>
    <col min="2" max="2" width="16.6640625" customWidth="1"/>
    <col min="3" max="3" width="19" customWidth="1"/>
    <col min="4" max="4" width="19.3320312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Dresden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451843.91</v>
      </c>
      <c r="D8" s="95">
        <f>'DOE25'!G9</f>
        <v>150</v>
      </c>
      <c r="E8" s="95">
        <f>'DOE25'!H9</f>
        <v>0</v>
      </c>
      <c r="F8" s="95">
        <f>'DOE25'!I9</f>
        <v>0</v>
      </c>
      <c r="G8" s="95">
        <f>'DOE25'!J9</f>
        <v>86147.68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6672</v>
      </c>
      <c r="D12" s="95">
        <f>'DOE25'!G13</f>
        <v>144.21</v>
      </c>
      <c r="E12" s="95">
        <f>'DOE25'!H13</f>
        <v>66784.44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112737.32</v>
      </c>
      <c r="D13" s="95">
        <f>'DOE25'!G14</f>
        <v>158</v>
      </c>
      <c r="E13" s="95">
        <f>'DOE25'!H14</f>
        <v>-1136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16611.849999999999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587865.07999999996</v>
      </c>
      <c r="D18" s="41">
        <f>SUM(D8:D17)</f>
        <v>452.21000000000004</v>
      </c>
      <c r="E18" s="41">
        <f>SUM(E8:E17)</f>
        <v>65648.44</v>
      </c>
      <c r="F18" s="41">
        <f>SUM(F8:F17)</f>
        <v>0</v>
      </c>
      <c r="G18" s="41">
        <f>SUM(G8:G17)</f>
        <v>86147.68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62280.79</v>
      </c>
      <c r="D21" s="95">
        <f>'DOE25'!G22</f>
        <v>23446.63</v>
      </c>
      <c r="E21" s="95">
        <f>'DOE25'!H22</f>
        <v>55072.67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139986.72</v>
      </c>
      <c r="D23" s="95">
        <f>'DOE25'!G24</f>
        <v>0</v>
      </c>
      <c r="E23" s="95">
        <f>'DOE25'!H24</f>
        <v>0</v>
      </c>
      <c r="F23" s="95">
        <f>'DOE25'!I24</f>
        <v>-74998.490000000005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29245.97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59492.3</v>
      </c>
      <c r="D30" s="95">
        <f>'DOE25'!G31</f>
        <v>0</v>
      </c>
      <c r="E30" s="95">
        <f>'DOE25'!H31</f>
        <v>449.78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261759.81</v>
      </c>
      <c r="D31" s="41">
        <f>SUM(D21:D30)</f>
        <v>52692.600000000006</v>
      </c>
      <c r="E31" s="41">
        <f>SUM(E21:E30)</f>
        <v>55522.45</v>
      </c>
      <c r="F31" s="41">
        <f>SUM(F21:F30)</f>
        <v>-74998.490000000005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-52240.39</v>
      </c>
      <c r="E47" s="95">
        <f>'DOE25'!H48</f>
        <v>10125.99</v>
      </c>
      <c r="F47" s="95">
        <f>'DOE25'!I48</f>
        <v>74998.490000000005</v>
      </c>
      <c r="G47" s="95">
        <f>'DOE25'!J48</f>
        <v>86147.68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326105.27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326105.27</v>
      </c>
      <c r="D50" s="41">
        <f>SUM(D34:D49)</f>
        <v>-52240.39</v>
      </c>
      <c r="E50" s="41">
        <f>SUM(E34:E49)</f>
        <v>10125.99</v>
      </c>
      <c r="F50" s="41">
        <f>SUM(F34:F49)</f>
        <v>74998.490000000005</v>
      </c>
      <c r="G50" s="41">
        <f>SUM(G34:G49)</f>
        <v>86147.68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587865.08000000007</v>
      </c>
      <c r="D51" s="41">
        <f>D50+D31</f>
        <v>452.2100000000064</v>
      </c>
      <c r="E51" s="41">
        <f>E50+E31</f>
        <v>65648.44</v>
      </c>
      <c r="F51" s="41">
        <f>F50+F31</f>
        <v>0</v>
      </c>
      <c r="G51" s="41">
        <f>G50+G31</f>
        <v>86147.68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16627297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3735397.64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15000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1103.4100000000001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1552.51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430280.99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208088.93</v>
      </c>
      <c r="D61" s="95">
        <f>SUM('DOE25'!G98:G110)</f>
        <v>0</v>
      </c>
      <c r="E61" s="95">
        <f>SUM('DOE25'!H98:H110)</f>
        <v>133488.57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3944589.9800000004</v>
      </c>
      <c r="D62" s="130">
        <f>SUM(D57:D61)</f>
        <v>430280.99</v>
      </c>
      <c r="E62" s="130">
        <f>SUM(E57:E61)</f>
        <v>148488.57</v>
      </c>
      <c r="F62" s="130">
        <f>SUM(F57:F61)</f>
        <v>0</v>
      </c>
      <c r="G62" s="130">
        <f>SUM(G57:G61)</f>
        <v>1552.51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20571886.98</v>
      </c>
      <c r="D63" s="22">
        <f>D56+D62</f>
        <v>430280.99</v>
      </c>
      <c r="E63" s="22">
        <f>E56+E62</f>
        <v>148488.57</v>
      </c>
      <c r="F63" s="22">
        <f>F56+F62</f>
        <v>0</v>
      </c>
      <c r="G63" s="22">
        <f>G56+G62</f>
        <v>1552.51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0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2608740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2608740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492293.49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26947.97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519241.45999999996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100000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3227981.46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0</v>
      </c>
      <c r="D88" s="95">
        <f>SUM('DOE25'!G153:G161)</f>
        <v>726.57</v>
      </c>
      <c r="E88" s="95">
        <f>SUM('DOE25'!H153:H161)</f>
        <v>199617.24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0</v>
      </c>
      <c r="D91" s="131">
        <f>SUM(D85:D90)</f>
        <v>726.57</v>
      </c>
      <c r="E91" s="131">
        <f>SUM(E85:E90)</f>
        <v>199617.24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43560.800000000003</v>
      </c>
      <c r="E96" s="95">
        <f>'DOE25'!H179</f>
        <v>0</v>
      </c>
      <c r="F96" s="95">
        <f>'DOE25'!I179</f>
        <v>105000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43560.800000000003</v>
      </c>
      <c r="E103" s="86">
        <f>SUM(E93:E102)</f>
        <v>0</v>
      </c>
      <c r="F103" s="86">
        <f>SUM(F93:F102)</f>
        <v>105000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23799868.440000001</v>
      </c>
      <c r="D104" s="86">
        <f>D63+D81+D91+D103</f>
        <v>474568.36</v>
      </c>
      <c r="E104" s="86">
        <f>E63+E81+E91+E103</f>
        <v>348105.81</v>
      </c>
      <c r="F104" s="86">
        <f>F63+F81+F91+F103</f>
        <v>105000</v>
      </c>
      <c r="G104" s="86">
        <f>G63+G81+G103</f>
        <v>1552.51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9799940.3100000005</v>
      </c>
      <c r="D109" s="24" t="s">
        <v>289</v>
      </c>
      <c r="E109" s="95">
        <f>('DOE25'!L276)+('DOE25'!L295)+('DOE25'!L314)</f>
        <v>132448.76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2567203.63</v>
      </c>
      <c r="D110" s="24" t="s">
        <v>289</v>
      </c>
      <c r="E110" s="95">
        <f>('DOE25'!L277)+('DOE25'!L296)+('DOE25'!L315)</f>
        <v>190976.5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72259.17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790456.26</v>
      </c>
      <c r="D112" s="24" t="s">
        <v>289</v>
      </c>
      <c r="E112" s="95">
        <f>+('DOE25'!L279)+('DOE25'!L298)+('DOE25'!L317)</f>
        <v>22200.67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13229859.370000001</v>
      </c>
      <c r="D115" s="86">
        <f>SUM(D109:D114)</f>
        <v>0</v>
      </c>
      <c r="E115" s="86">
        <f>SUM(E109:E114)</f>
        <v>345625.93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1246032.76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630416.08000000007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943944.69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1944201.65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1998115.78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175720.05</v>
      </c>
      <c r="D124" s="24" t="s">
        <v>289</v>
      </c>
      <c r="E124" s="95">
        <f>+('DOE25'!L287)+('DOE25'!L306)+('DOE25'!L325)</f>
        <v>4218.21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502031.78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6938431.0099999998</v>
      </c>
      <c r="D128" s="86">
        <f>SUM(D118:D127)</f>
        <v>502031.78</v>
      </c>
      <c r="E128" s="86">
        <f>SUM(E118:E127)</f>
        <v>4218.21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72795.259999999995</v>
      </c>
      <c r="D130" s="24" t="s">
        <v>289</v>
      </c>
      <c r="E130" s="129">
        <f>'DOE25'!L336</f>
        <v>0</v>
      </c>
      <c r="F130" s="129">
        <f>SUM('DOE25'!L374:'DOE25'!L380)</f>
        <v>277.79000000000002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2142144.2999999998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1303424.98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43560.800000000003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105000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1552.51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-1552.51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3666925.3399999994</v>
      </c>
      <c r="D144" s="141">
        <f>SUM(D130:D143)</f>
        <v>0</v>
      </c>
      <c r="E144" s="141">
        <f>SUM(E130:E143)</f>
        <v>0</v>
      </c>
      <c r="F144" s="141">
        <f>SUM(F130:F143)</f>
        <v>277.79000000000002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23835215.720000003</v>
      </c>
      <c r="D145" s="86">
        <f>(D115+D128+D144)</f>
        <v>502031.78</v>
      </c>
      <c r="E145" s="86">
        <f>(E115+E128+E144)</f>
        <v>349844.14</v>
      </c>
      <c r="F145" s="86">
        <f>(F115+F128+F144)</f>
        <v>277.79000000000002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20</v>
      </c>
      <c r="D151" s="153">
        <f>'DOE25'!H490</f>
        <v>20</v>
      </c>
      <c r="E151" s="153">
        <f>'DOE25'!I490</f>
        <v>20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1/15/07</v>
      </c>
      <c r="C152" s="152" t="str">
        <f>'DOE25'!G491</f>
        <v>12/22/04</v>
      </c>
      <c r="D152" s="152" t="str">
        <f>'DOE25'!H491</f>
        <v>8/15/03</v>
      </c>
      <c r="E152" s="152" t="str">
        <f>'DOE25'!I491</f>
        <v>8/15/01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1/15/07</v>
      </c>
      <c r="C153" s="152" t="str">
        <f>'DOE25'!G492</f>
        <v>1/15/25</v>
      </c>
      <c r="D153" s="152" t="str">
        <f>'DOE25'!H492</f>
        <v>8/15/03</v>
      </c>
      <c r="E153" s="152" t="str">
        <f>'DOE25'!I492</f>
        <v>8/15/01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2532900</v>
      </c>
      <c r="C154" s="137">
        <f>'DOE25'!G493</f>
        <v>4000000</v>
      </c>
      <c r="D154" s="137">
        <f>'DOE25'!H493</f>
        <v>38460936</v>
      </c>
      <c r="E154" s="137">
        <f>'DOE25'!I493</f>
        <v>1100000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4.08</v>
      </c>
      <c r="C155" s="137">
        <f>'DOE25'!G494</f>
        <v>4.47</v>
      </c>
      <c r="D155" s="137">
        <f>'DOE25'!H494</f>
        <v>4.62</v>
      </c>
      <c r="E155" s="137">
        <f>'DOE25'!I494</f>
        <v>4.71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1392431</v>
      </c>
      <c r="C156" s="137">
        <f>'DOE25'!G495</f>
        <v>1761078</v>
      </c>
      <c r="D156" s="137">
        <f>'DOE25'!H495</f>
        <v>14336166</v>
      </c>
      <c r="E156" s="137">
        <f>'DOE25'!I495</f>
        <v>440000</v>
      </c>
      <c r="F156" s="137">
        <f>'DOE25'!J495</f>
        <v>0</v>
      </c>
      <c r="G156" s="138">
        <f>SUM(B156:F156)</f>
        <v>17929675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136674</v>
      </c>
      <c r="C158" s="137">
        <f>'DOE25'!G497</f>
        <v>197433</v>
      </c>
      <c r="D158" s="137">
        <f>'DOE25'!H497</f>
        <v>1753037</v>
      </c>
      <c r="E158" s="137">
        <f>'DOE25'!I497</f>
        <v>55000</v>
      </c>
      <c r="F158" s="137">
        <f>'DOE25'!J497</f>
        <v>0</v>
      </c>
      <c r="G158" s="138">
        <f t="shared" si="0"/>
        <v>2142144</v>
      </c>
    </row>
    <row r="159" spans="1:9" x14ac:dyDescent="0.2">
      <c r="A159" s="22" t="s">
        <v>35</v>
      </c>
      <c r="B159" s="137">
        <f>'DOE25'!F498</f>
        <v>1255757</v>
      </c>
      <c r="C159" s="137">
        <f>'DOE25'!G498</f>
        <v>1563645</v>
      </c>
      <c r="D159" s="137">
        <f>'DOE25'!H498</f>
        <v>12583129</v>
      </c>
      <c r="E159" s="137">
        <f>'DOE25'!I498</f>
        <v>385000</v>
      </c>
      <c r="F159" s="137">
        <f>'DOE25'!J498</f>
        <v>0</v>
      </c>
      <c r="G159" s="138">
        <f t="shared" si="0"/>
        <v>15787531</v>
      </c>
    </row>
    <row r="160" spans="1:9" x14ac:dyDescent="0.2">
      <c r="A160" s="22" t="s">
        <v>36</v>
      </c>
      <c r="B160" s="137">
        <f>'DOE25'!F499</f>
        <v>1050950</v>
      </c>
      <c r="C160" s="137">
        <f>'DOE25'!G499</f>
        <v>1459489</v>
      </c>
      <c r="D160" s="137">
        <f>'DOE25'!H499</f>
        <v>13712490</v>
      </c>
      <c r="E160" s="137">
        <f>'DOE25'!I499</f>
        <v>67004</v>
      </c>
      <c r="F160" s="137">
        <f>'DOE25'!J499</f>
        <v>0</v>
      </c>
      <c r="G160" s="138">
        <f t="shared" si="0"/>
        <v>16289933</v>
      </c>
    </row>
    <row r="161" spans="1:7" x14ac:dyDescent="0.2">
      <c r="A161" s="22" t="s">
        <v>37</v>
      </c>
      <c r="B161" s="137">
        <f>'DOE25'!F500</f>
        <v>2306707</v>
      </c>
      <c r="C161" s="137">
        <f>'DOE25'!G500</f>
        <v>3023134</v>
      </c>
      <c r="D161" s="137">
        <f>'DOE25'!H500</f>
        <v>26295619</v>
      </c>
      <c r="E161" s="137">
        <f>'DOE25'!I500</f>
        <v>452004</v>
      </c>
      <c r="F161" s="137">
        <f>'DOE25'!J500</f>
        <v>0</v>
      </c>
      <c r="G161" s="138">
        <f t="shared" si="0"/>
        <v>32077464</v>
      </c>
    </row>
    <row r="162" spans="1:7" x14ac:dyDescent="0.2">
      <c r="A162" s="22" t="s">
        <v>38</v>
      </c>
      <c r="B162" s="137">
        <f>'DOE25'!F501</f>
        <v>130602</v>
      </c>
      <c r="C162" s="137">
        <f>'DOE25'!G501</f>
        <v>189177</v>
      </c>
      <c r="D162" s="137">
        <f>'DOE25'!H501</f>
        <v>1670991</v>
      </c>
      <c r="E162" s="137">
        <f>'DOE25'!I501</f>
        <v>55000</v>
      </c>
      <c r="F162" s="137">
        <f>'DOE25'!J501</f>
        <v>0</v>
      </c>
      <c r="G162" s="138">
        <f t="shared" si="0"/>
        <v>2045770</v>
      </c>
    </row>
    <row r="163" spans="1:7" x14ac:dyDescent="0.2">
      <c r="A163" s="22" t="s">
        <v>39</v>
      </c>
      <c r="B163" s="137">
        <f>'DOE25'!F502</f>
        <v>60655</v>
      </c>
      <c r="C163" s="137">
        <f>'DOE25'!G502</f>
        <v>91492</v>
      </c>
      <c r="D163" s="137">
        <f>'DOE25'!H502</f>
        <v>1225921</v>
      </c>
      <c r="E163" s="137">
        <f>'DOE25'!I502</f>
        <v>17641</v>
      </c>
      <c r="F163" s="137">
        <f>'DOE25'!J502</f>
        <v>0</v>
      </c>
      <c r="G163" s="138">
        <f t="shared" si="0"/>
        <v>1395709</v>
      </c>
    </row>
    <row r="164" spans="1:7" x14ac:dyDescent="0.2">
      <c r="A164" s="22" t="s">
        <v>246</v>
      </c>
      <c r="B164" s="137">
        <f>'DOE25'!F503</f>
        <v>191257</v>
      </c>
      <c r="C164" s="137">
        <f>'DOE25'!G503</f>
        <v>280669</v>
      </c>
      <c r="D164" s="137">
        <f>'DOE25'!H503</f>
        <v>2896912</v>
      </c>
      <c r="E164" s="137">
        <f>'DOE25'!I503</f>
        <v>72641</v>
      </c>
      <c r="F164" s="137">
        <f>'DOE25'!J503</f>
        <v>0</v>
      </c>
      <c r="G164" s="138">
        <f t="shared" si="0"/>
        <v>3441479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80" orientation="landscape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  <pageSetUpPr fitToPage="1"/>
  </sheetPr>
  <dimension ref="A1:D42"/>
  <sheetViews>
    <sheetView zoomScale="125" zoomScaleNormal="125" zoomScalePageLayoutView="125" workbookViewId="0">
      <selection activeCell="B34" sqref="B34"/>
    </sheetView>
  </sheetViews>
  <sheetFormatPr defaultColWidth="9"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Dresden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17276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18556</v>
      </c>
    </row>
    <row r="7" spans="1:4" x14ac:dyDescent="0.2">
      <c r="B7" t="s">
        <v>705</v>
      </c>
      <c r="C7" s="179">
        <f>IF('DOE25'!I665+'DOE25'!I670=0,0,ROUND('DOE25'!I672,0))</f>
        <v>18102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9932389</v>
      </c>
      <c r="D10" s="182">
        <f>ROUND((C10/$C$28)*100,1)</f>
        <v>45.4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2758180</v>
      </c>
      <c r="D11" s="182">
        <f>ROUND((C11/$C$28)*100,1)</f>
        <v>12.6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72259</v>
      </c>
      <c r="D12" s="182">
        <f>ROUND((C12/$C$28)*100,1)</f>
        <v>0.3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812657</v>
      </c>
      <c r="D13" s="182">
        <f>ROUND((C13/$C$28)*100,1)</f>
        <v>3.7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1246033</v>
      </c>
      <c r="D15" s="182">
        <f t="shared" ref="D15:D27" si="0">ROUND((C15/$C$28)*100,1)</f>
        <v>5.7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630416</v>
      </c>
      <c r="D16" s="182">
        <f t="shared" si="0"/>
        <v>2.9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943945</v>
      </c>
      <c r="D17" s="182">
        <f t="shared" si="0"/>
        <v>4.3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1944202</v>
      </c>
      <c r="D18" s="182">
        <f t="shared" si="0"/>
        <v>8.9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1998116</v>
      </c>
      <c r="D20" s="182">
        <f t="shared" si="0"/>
        <v>9.1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179938</v>
      </c>
      <c r="D21" s="182">
        <f t="shared" si="0"/>
        <v>0.8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1303425</v>
      </c>
      <c r="D25" s="182">
        <f t="shared" si="0"/>
        <v>6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71751.010000000009</v>
      </c>
      <c r="D27" s="182">
        <f t="shared" si="0"/>
        <v>0.3</v>
      </c>
    </row>
    <row r="28" spans="1:4" x14ac:dyDescent="0.2">
      <c r="B28" s="187" t="s">
        <v>723</v>
      </c>
      <c r="C28" s="180">
        <f>SUM(C10:C27)</f>
        <v>21893311.010000002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73073</v>
      </c>
    </row>
    <row r="30" spans="1:4" x14ac:dyDescent="0.2">
      <c r="B30" s="187" t="s">
        <v>729</v>
      </c>
      <c r="C30" s="180">
        <f>SUM(C28:C29)</f>
        <v>21966384.010000002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2142144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16627297</v>
      </c>
      <c r="D35" s="182">
        <f t="shared" ref="D35:D40" si="1">ROUND((C35/$C$41)*100,1)</f>
        <v>68.8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4094631.0600000024</v>
      </c>
      <c r="D36" s="182">
        <f t="shared" si="1"/>
        <v>17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2608740</v>
      </c>
      <c r="D37" s="182">
        <f t="shared" si="1"/>
        <v>10.8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619241</v>
      </c>
      <c r="D38" s="182">
        <f t="shared" si="1"/>
        <v>2.6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200344</v>
      </c>
      <c r="D39" s="182">
        <f t="shared" si="1"/>
        <v>0.8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24150253.060000002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scale="99" orientation="portrait"/>
  <headerFooter alignWithMargins="0">
    <oddHeader>&amp;A</oddHeader>
    <oddFooter>Page &amp;P</oddFooter>
  </headerFooter>
  <ignoredErrors>
    <ignoredError sqref="D10:D28" evalError="1"/>
  </ignoredErrors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  <pageSetUpPr fitToPage="1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ColWidth="9"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Dresden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0" orientation="portrait"/>
  <headerFooter alignWithMargins="0">
    <oddHeader>&amp;LDistrict Notes</oddHeader>
    <oddFooter>&amp;CPage &amp;P of &amp;N</oddFooter>
  </headerFooter>
  <extLst>
    <ext xmlns:mx="http://schemas.microsoft.com/office/mac/excel/2008/main" uri="{64002731-A6B0-56B0-2670-7721B7C09600}">
      <mx:PLV Mode="0" OnePage="0" WScale="85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2015-09-22T13:34:09Z</cp:lastPrinted>
  <dcterms:created xsi:type="dcterms:W3CDTF">1997-12-04T19:04:30Z</dcterms:created>
  <dcterms:modified xsi:type="dcterms:W3CDTF">2015-11-25T15:54:51Z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