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800" windowHeight="142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C20" i="12" l="1"/>
  <c r="C19" i="12"/>
  <c r="B20" i="12"/>
  <c r="B19" i="12"/>
  <c r="B21" i="12"/>
  <c r="B11" i="12"/>
  <c r="B10" i="12"/>
  <c r="F367" i="1" l="1"/>
  <c r="I358" i="1"/>
  <c r="H604" i="1" l="1"/>
  <c r="G22" i="1"/>
  <c r="H526" i="1" l="1"/>
  <c r="G526" i="1"/>
  <c r="F526" i="1"/>
  <c r="H528" i="1"/>
  <c r="I526" i="1"/>
  <c r="G557" i="1"/>
  <c r="F557" i="1"/>
  <c r="G521" i="1"/>
  <c r="F521" i="1"/>
  <c r="H523" i="1"/>
  <c r="H522" i="1"/>
  <c r="J521" i="1"/>
  <c r="I521" i="1"/>
  <c r="H521" i="1"/>
  <c r="F502" i="1"/>
  <c r="F499" i="1"/>
  <c r="F498" i="1"/>
  <c r="F495" i="1"/>
  <c r="F441" i="1"/>
  <c r="I472" i="1" l="1"/>
  <c r="I468" i="1"/>
  <c r="F22" i="1"/>
  <c r="F29" i="1" l="1"/>
  <c r="F24" i="1"/>
  <c r="I203" i="1" l="1"/>
  <c r="H203" i="1"/>
  <c r="K266" i="1"/>
  <c r="H208" i="1"/>
  <c r="H226" i="1"/>
  <c r="I207" i="1"/>
  <c r="H207" i="1"/>
  <c r="F207" i="1"/>
  <c r="K205" i="1"/>
  <c r="I205" i="1"/>
  <c r="H205" i="1"/>
  <c r="F205" i="1"/>
  <c r="H204" i="1"/>
  <c r="F204" i="1"/>
  <c r="G204" i="1"/>
  <c r="I204" i="1"/>
  <c r="K204" i="1"/>
  <c r="F203" i="1" l="1"/>
  <c r="H202" i="1"/>
  <c r="G202" i="1"/>
  <c r="F202" i="1"/>
  <c r="H238" i="1"/>
  <c r="I202" i="1"/>
  <c r="K200" i="1"/>
  <c r="H198" i="1"/>
  <c r="H216" i="1"/>
  <c r="J198" i="1"/>
  <c r="I198" i="1"/>
  <c r="F198" i="1"/>
  <c r="G197" i="1"/>
  <c r="I197" i="1"/>
  <c r="F197" i="1"/>
  <c r="F468" i="1"/>
  <c r="F110" i="1"/>
  <c r="H472" i="1" l="1"/>
  <c r="K276" i="1"/>
  <c r="K277" i="1"/>
  <c r="G282" i="1"/>
  <c r="F282" i="1"/>
  <c r="I277" i="1"/>
  <c r="G277" i="1"/>
  <c r="F277" i="1"/>
  <c r="G276" i="1"/>
  <c r="F276" i="1"/>
  <c r="H159" i="1"/>
  <c r="H155" i="1"/>
  <c r="H154" i="1"/>
  <c r="F368" i="1" l="1"/>
  <c r="G132" i="1"/>
  <c r="G158" i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E8" i="13" s="1"/>
  <c r="C8" i="13" s="1"/>
  <c r="G8" i="13"/>
  <c r="L204" i="1"/>
  <c r="L222" i="1"/>
  <c r="L240" i="1"/>
  <c r="C120" i="2" s="1"/>
  <c r="D39" i="13"/>
  <c r="F13" i="13"/>
  <c r="G13" i="13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C20" i="10" s="1"/>
  <c r="F15" i="13"/>
  <c r="G15" i="13"/>
  <c r="L208" i="1"/>
  <c r="G649" i="1" s="1"/>
  <c r="L226" i="1"/>
  <c r="L244" i="1"/>
  <c r="G651" i="1" s="1"/>
  <c r="F17" i="13"/>
  <c r="G17" i="13"/>
  <c r="L251" i="1"/>
  <c r="D17" i="13" s="1"/>
  <c r="C17" i="13" s="1"/>
  <c r="F18" i="13"/>
  <c r="G18" i="13"/>
  <c r="L252" i="1"/>
  <c r="D18" i="13" s="1"/>
  <c r="C18" i="13" s="1"/>
  <c r="F19" i="13"/>
  <c r="D19" i="13" s="1"/>
  <c r="C19" i="13" s="1"/>
  <c r="G19" i="13"/>
  <c r="L253" i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E132" i="2" s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F169" i="1" s="1"/>
  <c r="G147" i="1"/>
  <c r="G162" i="1"/>
  <c r="H147" i="1"/>
  <c r="E85" i="2" s="1"/>
  <c r="H162" i="1"/>
  <c r="H169" i="1" s="1"/>
  <c r="I147" i="1"/>
  <c r="I162" i="1"/>
  <c r="C11" i="10"/>
  <c r="L250" i="1"/>
  <c r="L332" i="1"/>
  <c r="E113" i="2" s="1"/>
  <c r="L254" i="1"/>
  <c r="L268" i="1"/>
  <c r="L269" i="1"/>
  <c r="C143" i="2" s="1"/>
  <c r="L349" i="1"/>
  <c r="L350" i="1"/>
  <c r="E143" i="2" s="1"/>
  <c r="I665" i="1"/>
  <c r="I670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J552" i="1" s="1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F18" i="2" s="1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F78" i="2" s="1"/>
  <c r="F81" i="2" s="1"/>
  <c r="C74" i="2"/>
  <c r="C75" i="2"/>
  <c r="C76" i="2"/>
  <c r="E76" i="2"/>
  <c r="F76" i="2"/>
  <c r="C77" i="2"/>
  <c r="C78" i="2" s="1"/>
  <c r="D77" i="2"/>
  <c r="D78" i="2" s="1"/>
  <c r="E77" i="2"/>
  <c r="F77" i="2"/>
  <c r="G77" i="2"/>
  <c r="G78" i="2" s="1"/>
  <c r="C79" i="2"/>
  <c r="D79" i="2"/>
  <c r="E79" i="2"/>
  <c r="C80" i="2"/>
  <c r="E80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3" i="2"/>
  <c r="C114" i="2"/>
  <c r="D115" i="2"/>
  <c r="F115" i="2"/>
  <c r="G115" i="2"/>
  <c r="E119" i="2"/>
  <c r="E120" i="2"/>
  <c r="C121" i="2"/>
  <c r="C123" i="2"/>
  <c r="E123" i="2"/>
  <c r="E124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F408" i="1" s="1"/>
  <c r="H643" i="1" s="1"/>
  <c r="G401" i="1"/>
  <c r="H401" i="1"/>
  <c r="I401" i="1"/>
  <c r="F407" i="1"/>
  <c r="G407" i="1"/>
  <c r="H407" i="1"/>
  <c r="I407" i="1"/>
  <c r="G408" i="1"/>
  <c r="H645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G460" i="1"/>
  <c r="H460" i="1"/>
  <c r="H461" i="1" s="1"/>
  <c r="H641" i="1" s="1"/>
  <c r="I460" i="1"/>
  <c r="F461" i="1"/>
  <c r="F470" i="1"/>
  <c r="I470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3" i="1"/>
  <c r="H627" i="1"/>
  <c r="H630" i="1"/>
  <c r="H633" i="1"/>
  <c r="H636" i="1"/>
  <c r="H638" i="1"/>
  <c r="H639" i="1"/>
  <c r="G641" i="1"/>
  <c r="G643" i="1"/>
  <c r="G644" i="1"/>
  <c r="G652" i="1"/>
  <c r="H652" i="1"/>
  <c r="G653" i="1"/>
  <c r="H653" i="1"/>
  <c r="G654" i="1"/>
  <c r="H654" i="1"/>
  <c r="H655" i="1"/>
  <c r="F192" i="1"/>
  <c r="L256" i="1"/>
  <c r="C26" i="10"/>
  <c r="C70" i="2"/>
  <c r="D50" i="2"/>
  <c r="G157" i="2"/>
  <c r="G161" i="2"/>
  <c r="G156" i="2"/>
  <c r="D14" i="13"/>
  <c r="C14" i="13" s="1"/>
  <c r="E78" i="2"/>
  <c r="K571" i="1"/>
  <c r="D81" i="2"/>
  <c r="I169" i="1"/>
  <c r="I476" i="1"/>
  <c r="H625" i="1" s="1"/>
  <c r="G338" i="1"/>
  <c r="G352" i="1" s="1"/>
  <c r="G22" i="2"/>
  <c r="H140" i="1"/>
  <c r="F22" i="13"/>
  <c r="C22" i="13" s="1"/>
  <c r="H25" i="13"/>
  <c r="C25" i="13" s="1"/>
  <c r="H338" i="1"/>
  <c r="H352" i="1" s="1"/>
  <c r="G192" i="1"/>
  <c r="G36" i="2"/>
  <c r="L534" i="1" l="1"/>
  <c r="A40" i="12"/>
  <c r="A13" i="12"/>
  <c r="C22" i="12"/>
  <c r="J140" i="1"/>
  <c r="G81" i="2"/>
  <c r="G62" i="2"/>
  <c r="G645" i="1"/>
  <c r="J645" i="1" s="1"/>
  <c r="J112" i="1"/>
  <c r="J643" i="1"/>
  <c r="J655" i="1"/>
  <c r="D31" i="2"/>
  <c r="K605" i="1"/>
  <c r="G648" i="1" s="1"/>
  <c r="L614" i="1"/>
  <c r="K598" i="1"/>
  <c r="G647" i="1" s="1"/>
  <c r="J651" i="1"/>
  <c r="J649" i="1"/>
  <c r="G552" i="1"/>
  <c r="I545" i="1"/>
  <c r="L529" i="1"/>
  <c r="K551" i="1"/>
  <c r="L544" i="1"/>
  <c r="K550" i="1"/>
  <c r="K549" i="1"/>
  <c r="K545" i="1"/>
  <c r="G545" i="1"/>
  <c r="H545" i="1"/>
  <c r="J545" i="1"/>
  <c r="L570" i="1"/>
  <c r="J571" i="1"/>
  <c r="F571" i="1"/>
  <c r="L560" i="1"/>
  <c r="F552" i="1"/>
  <c r="H571" i="1"/>
  <c r="L565" i="1"/>
  <c r="L571" i="1" s="1"/>
  <c r="I571" i="1"/>
  <c r="L524" i="1"/>
  <c r="G461" i="1"/>
  <c r="H640" i="1" s="1"/>
  <c r="J640" i="1" s="1"/>
  <c r="J641" i="1"/>
  <c r="I452" i="1"/>
  <c r="I461" i="1" s="1"/>
  <c r="H642" i="1" s="1"/>
  <c r="J642" i="1" s="1"/>
  <c r="I446" i="1"/>
  <c r="G642" i="1" s="1"/>
  <c r="L433" i="1"/>
  <c r="I408" i="1"/>
  <c r="L401" i="1"/>
  <c r="C139" i="2" s="1"/>
  <c r="H408" i="1"/>
  <c r="H644" i="1" s="1"/>
  <c r="J644" i="1" s="1"/>
  <c r="J639" i="1"/>
  <c r="F130" i="2"/>
  <c r="F144" i="2" s="1"/>
  <c r="F145" i="2" s="1"/>
  <c r="C18" i="2"/>
  <c r="D12" i="13"/>
  <c r="C12" i="13" s="1"/>
  <c r="L270" i="1"/>
  <c r="H647" i="1"/>
  <c r="J647" i="1" s="1"/>
  <c r="E16" i="13"/>
  <c r="C16" i="13" s="1"/>
  <c r="C125" i="2"/>
  <c r="D15" i="13"/>
  <c r="C15" i="13" s="1"/>
  <c r="G650" i="1"/>
  <c r="J650" i="1" s="1"/>
  <c r="C21" i="10"/>
  <c r="D7" i="13"/>
  <c r="C7" i="13" s="1"/>
  <c r="C16" i="10"/>
  <c r="K257" i="1"/>
  <c r="K271" i="1" s="1"/>
  <c r="C112" i="2"/>
  <c r="I257" i="1"/>
  <c r="I271" i="1" s="1"/>
  <c r="C118" i="2"/>
  <c r="D6" i="13"/>
  <c r="C6" i="13" s="1"/>
  <c r="G257" i="1"/>
  <c r="G271" i="1" s="1"/>
  <c r="J257" i="1"/>
  <c r="J271" i="1" s="1"/>
  <c r="F257" i="1"/>
  <c r="F271" i="1" s="1"/>
  <c r="L229" i="1"/>
  <c r="L247" i="1"/>
  <c r="H660" i="1" s="1"/>
  <c r="D5" i="13"/>
  <c r="C5" i="13" s="1"/>
  <c r="C91" i="2"/>
  <c r="F112" i="1"/>
  <c r="C35" i="10"/>
  <c r="G625" i="1"/>
  <c r="J625" i="1" s="1"/>
  <c r="E31" i="2"/>
  <c r="H52" i="1"/>
  <c r="H619" i="1" s="1"/>
  <c r="J619" i="1" s="1"/>
  <c r="L351" i="1"/>
  <c r="H33" i="13"/>
  <c r="C29" i="10"/>
  <c r="E125" i="2"/>
  <c r="L328" i="1"/>
  <c r="K338" i="1"/>
  <c r="K352" i="1" s="1"/>
  <c r="L309" i="1"/>
  <c r="E122" i="2"/>
  <c r="E118" i="2"/>
  <c r="E121" i="2"/>
  <c r="E128" i="2" s="1"/>
  <c r="A31" i="12"/>
  <c r="F338" i="1"/>
  <c r="F352" i="1" s="1"/>
  <c r="C10" i="10"/>
  <c r="C18" i="10"/>
  <c r="C17" i="10"/>
  <c r="C12" i="10"/>
  <c r="L290" i="1"/>
  <c r="E103" i="2"/>
  <c r="E81" i="2"/>
  <c r="E62" i="2"/>
  <c r="E63" i="2" s="1"/>
  <c r="H112" i="1"/>
  <c r="D18" i="2"/>
  <c r="J634" i="1"/>
  <c r="G661" i="1"/>
  <c r="H661" i="1"/>
  <c r="L362" i="1"/>
  <c r="D29" i="13"/>
  <c r="C29" i="13" s="1"/>
  <c r="D91" i="2"/>
  <c r="D62" i="2"/>
  <c r="D63" i="2" s="1"/>
  <c r="G112" i="1"/>
  <c r="C81" i="2"/>
  <c r="L539" i="1"/>
  <c r="K503" i="1"/>
  <c r="L382" i="1"/>
  <c r="G636" i="1" s="1"/>
  <c r="J636" i="1" s="1"/>
  <c r="E109" i="2"/>
  <c r="E115" i="2" s="1"/>
  <c r="C62" i="2"/>
  <c r="C63" i="2" s="1"/>
  <c r="F661" i="1"/>
  <c r="C15" i="10"/>
  <c r="J338" i="1"/>
  <c r="J352" i="1" s="1"/>
  <c r="D127" i="2"/>
  <c r="D128" i="2" s="1"/>
  <c r="D145" i="2" s="1"/>
  <c r="C124" i="2"/>
  <c r="C111" i="2"/>
  <c r="C115" i="2" s="1"/>
  <c r="F662" i="1"/>
  <c r="I662" i="1" s="1"/>
  <c r="C13" i="10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I192" i="1"/>
  <c r="E91" i="2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169" i="1"/>
  <c r="C39" i="10" s="1"/>
  <c r="G140" i="1"/>
  <c r="F140" i="1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D103" i="2"/>
  <c r="I140" i="1"/>
  <c r="A22" i="12"/>
  <c r="J652" i="1"/>
  <c r="G571" i="1"/>
  <c r="I434" i="1"/>
  <c r="G434" i="1"/>
  <c r="I663" i="1"/>
  <c r="L545" i="1" l="1"/>
  <c r="H664" i="1"/>
  <c r="H667" i="1" s="1"/>
  <c r="C27" i="10"/>
  <c r="G472" i="1"/>
  <c r="G104" i="2"/>
  <c r="E51" i="2"/>
  <c r="K552" i="1"/>
  <c r="L408" i="1"/>
  <c r="G637" i="1" s="1"/>
  <c r="C141" i="2"/>
  <c r="C144" i="2" s="1"/>
  <c r="H211" i="1"/>
  <c r="H257" i="1" s="1"/>
  <c r="H271" i="1" s="1"/>
  <c r="L206" i="1"/>
  <c r="G660" i="1"/>
  <c r="G664" i="1" s="1"/>
  <c r="G672" i="1" s="1"/>
  <c r="C5" i="10" s="1"/>
  <c r="C104" i="2"/>
  <c r="F193" i="1"/>
  <c r="G627" i="1" s="1"/>
  <c r="J627" i="1" s="1"/>
  <c r="I193" i="1"/>
  <c r="G630" i="1" s="1"/>
  <c r="J630" i="1" s="1"/>
  <c r="F104" i="2"/>
  <c r="G629" i="1"/>
  <c r="H468" i="1"/>
  <c r="L338" i="1"/>
  <c r="L352" i="1" s="1"/>
  <c r="G633" i="1" s="1"/>
  <c r="J633" i="1" s="1"/>
  <c r="E145" i="2"/>
  <c r="E104" i="2"/>
  <c r="C36" i="10"/>
  <c r="G635" i="1"/>
  <c r="D104" i="2"/>
  <c r="H672" i="1"/>
  <c r="C6" i="10" s="1"/>
  <c r="I661" i="1"/>
  <c r="H648" i="1"/>
  <c r="J648" i="1" s="1"/>
  <c r="D31" i="13"/>
  <c r="C31" i="13" s="1"/>
  <c r="G631" i="1"/>
  <c r="G193" i="1"/>
  <c r="G626" i="1"/>
  <c r="J52" i="1"/>
  <c r="H621" i="1" s="1"/>
  <c r="J621" i="1" s="1"/>
  <c r="C38" i="10"/>
  <c r="H646" i="1" l="1"/>
  <c r="J646" i="1" s="1"/>
  <c r="H635" i="1"/>
  <c r="J635" i="1" s="1"/>
  <c r="G474" i="1"/>
  <c r="J468" i="1"/>
  <c r="H637" i="1" s="1"/>
  <c r="J637" i="1" s="1"/>
  <c r="G667" i="1"/>
  <c r="C122" i="2"/>
  <c r="C128" i="2" s="1"/>
  <c r="C145" i="2" s="1"/>
  <c r="C19" i="10"/>
  <c r="C28" i="10" s="1"/>
  <c r="D23" i="10" s="1"/>
  <c r="E13" i="13"/>
  <c r="L211" i="1"/>
  <c r="G628" i="1"/>
  <c r="G468" i="1"/>
  <c r="H470" i="1"/>
  <c r="H476" i="1" s="1"/>
  <c r="H624" i="1" s="1"/>
  <c r="J624" i="1" s="1"/>
  <c r="H629" i="1"/>
  <c r="J629" i="1" s="1"/>
  <c r="D33" i="13"/>
  <c r="D36" i="13" s="1"/>
  <c r="C41" i="10"/>
  <c r="D38" i="10" s="1"/>
  <c r="J470" i="1" l="1"/>
  <c r="J476" i="1" s="1"/>
  <c r="H626" i="1" s="1"/>
  <c r="J626" i="1" s="1"/>
  <c r="H631" i="1"/>
  <c r="J631" i="1" s="1"/>
  <c r="D12" i="10"/>
  <c r="C30" i="10"/>
  <c r="D25" i="10"/>
  <c r="D10" i="10"/>
  <c r="D22" i="10"/>
  <c r="D19" i="10"/>
  <c r="D16" i="10"/>
  <c r="D18" i="10"/>
  <c r="D21" i="10"/>
  <c r="L257" i="1"/>
  <c r="L271" i="1" s="1"/>
  <c r="F660" i="1"/>
  <c r="D26" i="10"/>
  <c r="D24" i="10"/>
  <c r="D27" i="10"/>
  <c r="D11" i="10"/>
  <c r="D13" i="10"/>
  <c r="C13" i="13"/>
  <c r="E33" i="13"/>
  <c r="D35" i="13" s="1"/>
  <c r="D17" i="10"/>
  <c r="D20" i="10"/>
  <c r="D15" i="10"/>
  <c r="H628" i="1"/>
  <c r="J628" i="1" s="1"/>
  <c r="G470" i="1"/>
  <c r="G476" i="1" s="1"/>
  <c r="H623" i="1" s="1"/>
  <c r="D37" i="10"/>
  <c r="D36" i="10"/>
  <c r="D35" i="10"/>
  <c r="D40" i="10"/>
  <c r="D39" i="10"/>
  <c r="G632" i="1" l="1"/>
  <c r="F472" i="1"/>
  <c r="D28" i="10"/>
  <c r="F664" i="1"/>
  <c r="I660" i="1"/>
  <c r="I664" i="1" s="1"/>
  <c r="J623" i="1"/>
  <c r="D41" i="10"/>
  <c r="H632" i="1" l="1"/>
  <c r="J632" i="1" s="1"/>
  <c r="F474" i="1"/>
  <c r="F476" i="1" s="1"/>
  <c r="I672" i="1"/>
  <c r="C7" i="10" s="1"/>
  <c r="I667" i="1"/>
  <c r="F667" i="1"/>
  <c r="F672" i="1"/>
  <c r="C4" i="10" s="1"/>
  <c r="H622" i="1" l="1"/>
  <c r="F51" i="1" l="1"/>
  <c r="C49" i="2"/>
  <c r="C50" i="2" s="1"/>
  <c r="C51" i="2" s="1"/>
  <c r="G622" i="1" l="1"/>
  <c r="F52" i="1"/>
  <c r="H617" i="1" s="1"/>
  <c r="J617" i="1" s="1"/>
  <c r="J622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<sst xmlns="http://schemas.openxmlformats.org/spreadsheetml/2006/main" count="3956" uniqueCount="914">
  <si>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</si>
  <si>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</si>
  <si>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</si>
  <si>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</si>
  <si>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</si>
  <si>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</si>
  <si>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</si>
  <si>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</si>
  <si>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</si>
  <si>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</si>
  <si>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</si>
  <si>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</si>
  <si>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</si>
  <si>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</si>
  <si>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</si>
  <si>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</si>
  <si>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</si>
  <si>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</si>
  <si>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</si>
  <si>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</si>
  <si>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</si>
  <si>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</si>
  <si>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</si>
  <si>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</si>
  <si>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</si>
  <si>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</si>
  <si>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</si>
  <si>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</si>
  <si>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</si>
  <si>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</si>
  <si>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</si>
  <si>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</si>
  <si>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</si>
  <si>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</si>
  <si>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</si>
  <si>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</si>
  <si>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</si>
  <si>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</si>
  <si>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</si>
  <si>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</si>
  <si>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</si>
  <si>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</si>
  <si>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</si>
  <si>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</si>
  <si>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</si>
  <si>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</si>
  <si>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</si>
  <si>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</si>
  <si>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</si>
  <si>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</si>
  <si>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</si>
  <si>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</si>
  <si>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</si>
  <si>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</si>
  <si>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</si>
  <si>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</si>
  <si>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</si>
  <si>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</si>
  <si>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</si>
  <si>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</si>
  <si>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</si>
  <si>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</si>
  <si>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</si>
  <si>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</si>
  <si>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</si>
  <si>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</si>
  <si>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</si>
  <si>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</si>
  <si>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</si>
  <si>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</si>
  <si>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</si>
  <si>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</si>
  <si>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</si>
  <si>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</si>
  <si>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</si>
  <si>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</si>
  <si>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</si>
  <si>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</si>
  <si>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</si>
  <si>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</si>
  <si>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</si>
  <si>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</si>
  <si>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</si>
  <si>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</si>
  <si>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</si>
  <si>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</si>
  <si>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</si>
  <si>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</si>
  <si>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</si>
  <si>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</si>
  <si>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</si>
  <si>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</si>
  <si>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</si>
  <si>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</si>
  <si>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</si>
  <si>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</si>
  <si>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</si>
  <si>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</si>
  <si>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</si>
  <si>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</si>
  <si>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</si>
  <si>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</si>
  <si>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</si>
  <si>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</si>
  <si>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</si>
  <si>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</si>
  <si>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</si>
  <si>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</si>
  <si>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</si>
  <si>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</si>
  <si>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</si>
  <si>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</si>
  <si>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</si>
  <si>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</si>
  <si>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</si>
  <si>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</si>
  <si>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</si>
  <si>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</si>
  <si>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</si>
  <si>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</si>
  <si>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</si>
  <si>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</si>
  <si>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</si>
  <si>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</si>
  <si>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</si>
  <si>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</si>
  <si>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</si>
  <si>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</si>
  <si>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</si>
  <si>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</si>
  <si>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</si>
  <si>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</si>
  <si>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</si>
  <si>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</si>
  <si>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</si>
  <si>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</si>
  <si>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</si>
  <si>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</si>
  <si>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</si>
  <si>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</si>
  <si>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</si>
  <si>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</si>
  <si>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</si>
  <si>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</si>
  <si>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</si>
  <si>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</si>
  <si>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</si>
  <si>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</si>
  <si>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</si>
  <si>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</si>
  <si>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</si>
  <si>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</si>
  <si>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</si>
  <si>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</si>
  <si>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</si>
  <si>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</si>
  <si>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</si>
  <si>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</si>
  <si>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</si>
  <si>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</si>
  <si>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</si>
  <si>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</si>
  <si>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</si>
  <si>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</si>
  <si>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</si>
  <si>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</si>
  <si>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</si>
  <si>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</si>
  <si>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</si>
  <si>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</si>
  <si>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</si>
  <si>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</si>
  <si>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</si>
  <si>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</si>
  <si>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</si>
  <si>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</si>
  <si>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</si>
  <si>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</si>
  <si>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</si>
  <si>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</si>
  <si>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</si>
  <si>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</si>
  <si>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</si>
  <si>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</si>
  <si>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</si>
  <si>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</si>
  <si>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</si>
  <si>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</si>
  <si>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</si>
  <si>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</si>
  <si>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</si>
  <si>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</si>
  <si>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</si>
  <si>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</si>
  <si>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</si>
  <si>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</si>
  <si>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</si>
  <si>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</si>
  <si>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</si>
  <si>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</si>
  <si>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</si>
  <si>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</si>
  <si>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</si>
  <si>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</si>
  <si>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</si>
  <si>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</si>
  <si>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</si>
  <si>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</si>
  <si>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</si>
  <si>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</si>
  <si>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</si>
  <si>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</si>
  <si>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</si>
  <si>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</si>
  <si>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</si>
  <si>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</si>
  <si>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</si>
  <si>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</si>
  <si>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</si>
  <si>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</si>
  <si>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</si>
  <si>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</si>
  <si>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</si>
  <si>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</si>
  <si>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</si>
  <si>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</si>
  <si>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</si>
  <si>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</si>
  <si>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</si>
  <si>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</si>
  <si>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</si>
  <si>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</si>
  <si>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</si>
  <si>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</si>
  <si>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</si>
  <si>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</si>
  <si>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</si>
  <si>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</si>
  <si>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</si>
  <si>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</si>
  <si>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</si>
  <si>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</si>
  <si>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</si>
  <si>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</si>
  <si>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</si>
  <si>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</si>
  <si>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</si>
  <si>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</si>
  <si>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</si>
  <si>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</si>
  <si>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</si>
  <si>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</si>
  <si>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</si>
  <si>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</si>
  <si>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</si>
  <si>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</si>
  <si>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</si>
  <si>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</si>
  <si>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</si>
  <si>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</si>
  <si>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</si>
  <si>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</si>
  <si>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</si>
  <si>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</si>
  <si>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</si>
  <si>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</si>
  <si>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</si>
  <si>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</si>
  <si>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</si>
  <si>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</si>
  <si>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</si>
  <si>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</si>
  <si>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</si>
  <si>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</si>
  <si>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</si>
  <si>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</si>
  <si>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</si>
  <si>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</si>
  <si>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</si>
  <si>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</si>
  <si>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</si>
  <si>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</si>
  <si>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</si>
  <si>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</si>
  <si>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</si>
  <si>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</si>
  <si>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</si>
  <si>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</si>
  <si>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</si>
  <si>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</si>
  <si>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</si>
  <si>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</si>
  <si>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</si>
  <si>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</si>
  <si>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</si>
  <si>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</si>
  <si>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</si>
  <si>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</si>
  <si>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</si>
  <si>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</si>
  <si>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</si>
  <si>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</si>
  <si>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</si>
  <si>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</si>
  <si>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</si>
  <si>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</si>
  <si>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</si>
  <si>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</si>
  <si>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</si>
  <si>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</si>
  <si>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</si>
  <si>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</si>
  <si>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</si>
  <si>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</si>
  <si>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</si>
  <si>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</si>
  <si>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</si>
  <si>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</si>
  <si>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</si>
  <si>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</si>
  <si>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</si>
  <si>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</si>
  <si>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</si>
  <si>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</si>
  <si>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</si>
  <si>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</si>
  <si>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</si>
  <si>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</si>
  <si>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</si>
  <si>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</si>
  <si>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</si>
  <si>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</si>
  <si>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</si>
  <si>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</si>
  <si>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</si>
  <si>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</si>
  <si>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</si>
  <si>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</si>
  <si>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</si>
  <si>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</si>
  <si>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</si>
  <si>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</si>
  <si>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</si>
  <si>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</si>
  <si>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</si>
  <si>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</si>
  <si>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</si>
  <si>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</si>
  <si>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</si>
  <si>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</si>
  <si>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</si>
  <si>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</si>
  <si>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</si>
  <si>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</si>
  <si>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</si>
  <si>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</si>
  <si>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</si>
  <si>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</si>
  <si>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</si>
  <si>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</si>
  <si>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</si>
  <si>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</si>
  <si>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</si>
  <si>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</si>
  <si>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</si>
  <si>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</si>
  <si>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</si>
  <si>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</si>
  <si>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</si>
  <si>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</si>
  <si>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</si>
  <si>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</si>
  <si>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</si>
  <si>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</si>
  <si>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</si>
  <si>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</si>
  <si>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</si>
  <si>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</si>
  <si>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</si>
  <si>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</si>
  <si>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</si>
  <si>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</si>
  <si>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</si>
  <si>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</si>
  <si>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</si>
  <si>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</si>
  <si>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</si>
  <si>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</si>
  <si>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</si>
  <si>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</si>
  <si>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</si>
  <si>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</si>
  <si>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</si>
  <si>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</si>
  <si>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</si>
  <si>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</si>
  <si>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</si>
  <si>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</si>
  <si>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</si>
  <si>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</si>
  <si>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</si>
  <si>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</si>
  <si>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</si>
  <si>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</si>
  <si>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</si>
  <si>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</si>
  <si>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</si>
  <si>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</si>
  <si>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</si>
  <si>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</si>
  <si>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</si>
  <si>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</si>
  <si>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</si>
  <si>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</si>
  <si>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</si>
  <si>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</si>
  <si>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</si>
  <si>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</si>
  <si>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</si>
  <si>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</si>
  <si>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</si>
  <si>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</si>
  <si>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</si>
  <si>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</si>
  <si>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</si>
  <si>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</si>
  <si>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</si>
  <si>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</si>
  <si>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</si>
  <si>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</si>
  <si>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</si>
  <si>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</si>
  <si>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</si>
  <si>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</si>
  <si>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</si>
  <si>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</si>
  <si>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</si>
  <si>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</si>
  <si>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</si>
  <si>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</si>
  <si>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</si>
  <si>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</si>
  <si>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</si>
  <si>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</si>
  <si>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</si>
  <si>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</si>
  <si>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</si>
  <si>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</si>
  <si>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</si>
  <si>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</si>
  <si>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</si>
  <si>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</si>
  <si>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</si>
  <si>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</si>
  <si>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</si>
  <si>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</si>
  <si>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</si>
  <si>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</si>
  <si>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</si>
  <si>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</si>
  <si>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</si>
  <si>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</si>
  <si>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</si>
  <si>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</si>
  <si>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</si>
  <si>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</si>
  <si>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</si>
  <si>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</si>
  <si>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</si>
  <si>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</si>
  <si>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</si>
  <si>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</si>
  <si>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</si>
  <si>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</si>
  <si>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</si>
  <si>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</si>
  <si>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</si>
  <si>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</si>
  <si>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</si>
  <si>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</si>
  <si>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</si>
  <si>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</si>
  <si>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</si>
  <si>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</si>
  <si>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</si>
  <si>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</si>
  <si>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</si>
  <si>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</si>
  <si>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</si>
  <si>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</si>
  <si>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</si>
  <si>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</si>
  <si>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</si>
  <si>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</si>
  <si>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</si>
  <si>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</si>
  <si>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</si>
  <si>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</si>
  <si>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</si>
  <si>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</si>
  <si>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</si>
  <si>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</si>
  <si>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</si>
  <si>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</si>
  <si>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</si>
  <si>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</si>
  <si>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</si>
  <si>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</si>
  <si>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</si>
  <si>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</si>
  <si>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</si>
  <si>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</si>
  <si>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</si>
  <si>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</si>
  <si>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</si>
  <si>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</si>
  <si>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</si>
  <si>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</si>
  <si>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</si>
  <si>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</si>
  <si>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</si>
  <si>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</si>
  <si>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</si>
  <si>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</si>
  <si>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</si>
  <si>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</si>
  <si>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</si>
  <si>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</si>
  <si>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</si>
  <si>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</si>
  <si>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</si>
  <si>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</si>
  <si>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</si>
  <si>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</si>
  <si>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</si>
  <si>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</si>
  <si>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</si>
  <si>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</si>
  <si>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</si>
  <si>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</si>
  <si>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</si>
  <si>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</si>
  <si>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</si>
  <si>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</si>
  <si>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</si>
  <si>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</si>
  <si>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</si>
  <si>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</si>
  <si>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</si>
  <si>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</si>
  <si>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</si>
  <si>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</si>
  <si>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</si>
  <si>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</si>
  <si>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</si>
  <si>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</si>
  <si>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</si>
  <si>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</si>
  <si>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</si>
  <si>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</si>
  <si>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</si>
  <si>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</si>
  <si>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</si>
  <si>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</si>
  <si>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</si>
  <si>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</si>
  <si>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</si>
  <si>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</si>
  <si>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</si>
  <si>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</si>
  <si>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</si>
  <si>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</si>
  <si>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</si>
  <si>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</si>
  <si>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</si>
  <si>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</si>
  <si>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</si>
  <si>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</si>
  <si>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</si>
  <si>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</si>
  <si>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</si>
  <si>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</si>
  <si>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</si>
  <si>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</si>
  <si>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</si>
  <si>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</si>
  <si>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</si>
  <si>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</si>
  <si>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</si>
  <si>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</si>
  <si>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</si>
  <si>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</si>
  <si>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</si>
  <si>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</si>
  <si>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</si>
  <si>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</si>
  <si>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</si>
  <si>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</si>
  <si>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</si>
  <si>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</si>
  <si>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</si>
  <si>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</si>
  <si>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</si>
  <si>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</si>
  <si>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</si>
  <si>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</si>
  <si>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</si>
  <si>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</si>
  <si>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</si>
  <si>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</si>
  <si>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</si>
  <si>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</si>
  <si>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</si>
  <si>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</si>
  <si>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</si>
  <si>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</si>
  <si>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</si>
  <si>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</si>
  <si>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</si>
  <si>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</si>
  <si>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</si>
  <si>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</si>
  <si>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</si>
  <si>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</si>
  <si>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</si>
  <si>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</si>
  <si>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</si>
  <si>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</si>
  <si>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</si>
  <si>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</si>
  <si>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</si>
  <si>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</si>
  <si>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</si>
  <si>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</si>
  <si>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</si>
  <si>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</si>
  <si>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</si>
  <si>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</si>
  <si>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</si>
  <si>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</si>
  <si>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</si>
  <si>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</si>
  <si>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</si>
  <si>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</si>
  <si>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</si>
  <si>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</si>
  <si>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</si>
  <si>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</si>
  <si>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</si>
  <si>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</si>
  <si>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</si>
  <si>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</si>
  <si>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</si>
  <si>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</si>
  <si>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</si>
  <si>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</si>
  <si>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</si>
  <si>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</si>
  <si>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</si>
  <si>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</si>
  <si>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</si>
  <si>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</si>
  <si>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</si>
  <si>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</si>
  <si>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</si>
  <si>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</si>
  <si>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</si>
  <si>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</si>
  <si>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</si>
  <si>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</si>
  <si>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</si>
  <si>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</si>
  <si>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</si>
  <si>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</si>
  <si>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</si>
  <si>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</si>
  <si>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</si>
  <si>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</si>
  <si>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</si>
  <si>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</si>
  <si>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</si>
  <si>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</si>
  <si>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</si>
  <si>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</si>
  <si>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</si>
  <si>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</si>
  <si>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</si>
  <si>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</si>
  <si>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</si>
  <si>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</si>
  <si>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</si>
  <si>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</si>
  <si>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</si>
  <si>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</si>
  <si>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</si>
  <si>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</si>
  <si>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</si>
  <si>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</si>
  <si>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</si>
  <si>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</si>
  <si>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</si>
  <si>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</si>
  <si>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</si>
  <si>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</si>
  <si>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</si>
  <si>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</si>
  <si>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</si>
  <si>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</si>
  <si>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</si>
  <si>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</si>
  <si>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</si>
  <si>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</si>
  <si>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</si>
  <si>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</si>
  <si>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</si>
  <si>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</si>
  <si>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</si>
  <si>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</si>
  <si>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</si>
  <si>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</si>
  <si>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</si>
  <si>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</si>
  <si>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</si>
  <si>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</si>
  <si>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</si>
  <si>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</si>
  <si>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</si>
  <si>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</si>
  <si>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</si>
  <si>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</si>
  <si>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</si>
  <si>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</si>
  <si>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</si>
  <si>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</si>
  <si>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</si>
  <si>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</si>
  <si>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</si>
  <si>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</si>
  <si>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</si>
  <si>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</si>
  <si>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</si>
  <si>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</si>
  <si>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</si>
  <si>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</si>
  <si>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</si>
  <si>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</si>
  <si>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</si>
  <si>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</si>
  <si>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</si>
  <si>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</si>
  <si>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</si>
  <si>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</si>
  <si>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</si>
  <si>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</si>
  <si>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</si>
  <si>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</si>
  <si>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</si>
  <si>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</si>
  <si>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</si>
  <si>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</si>
  <si>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</si>
  <si>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</si>
  <si>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</si>
  <si>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</si>
  <si>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</si>
  <si>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</si>
  <si>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</si>
  <si>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</si>
  <si>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</si>
  <si>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</si>
  <si>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</si>
  <si>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</si>
  <si>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</si>
  <si>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</si>
  <si>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</si>
  <si>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</si>
  <si>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</si>
  <si>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</si>
  <si>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</si>
  <si>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</si>
  <si>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</si>
  <si>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</si>
  <si>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</si>
  <si>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</si>
  <si>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</si>
  <si>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</si>
  <si>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</si>
  <si>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</si>
  <si>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</si>
  <si>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</si>
  <si>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</si>
  <si>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</si>
  <si>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</si>
  <si>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</si>
  <si>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</si>
  <si>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</si>
  <si>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</si>
  <si>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</si>
  <si>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</si>
  <si>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</si>
  <si>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</si>
  <si>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</si>
  <si>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</si>
  <si>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</si>
  <si>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</si>
  <si>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</si>
  <si>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</si>
  <si>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</si>
  <si>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</si>
  <si>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</si>
  <si>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</si>
  <si>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</si>
  <si>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</si>
  <si>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</si>
  <si>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</si>
  <si>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</si>
  <si>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</si>
  <si>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</si>
  <si>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</si>
  <si>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</si>
  <si>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</si>
  <si>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</si>
  <si>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</si>
  <si>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</si>
  <si>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</si>
  <si>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</si>
  <si>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</si>
  <si>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</si>
  <si>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</si>
  <si>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</si>
  <si>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</si>
  <si>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</si>
  <si>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</si>
  <si>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</si>
  <si>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</si>
  <si>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</si>
  <si>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</si>
  <si>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</si>
  <si>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</si>
  <si>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</si>
  <si>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</si>
  <si>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</si>
  <si>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</si>
  <si>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</si>
  <si>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</si>
  <si>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</si>
  <si>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</si>
  <si>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</si>
  <si>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</si>
  <si>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</si>
  <si>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</si>
  <si>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</si>
  <si>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</si>
  <si>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</si>
  <si>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</si>
  <si>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</si>
  <si>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</si>
  <si>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</si>
  <si>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</si>
  <si>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</si>
  <si>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</si>
  <si>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</si>
  <si>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</si>
  <si>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</si>
  <si>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</si>
  <si>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</si>
  <si>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</si>
  <si>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</si>
  <si>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</si>
  <si>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</si>
  <si>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</si>
  <si>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</si>
  <si>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</si>
  <si>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</si>
  <si>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</si>
  <si>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</si>
  <si>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</si>
  <si>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</si>
  <si>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</si>
  <si>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</si>
  <si>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</si>
  <si>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</si>
  <si>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</si>
  <si>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</si>
  <si>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</si>
  <si>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</si>
  <si>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</si>
  <si>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</si>
  <si>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</si>
  <si>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</si>
  <si>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</si>
  <si>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</si>
  <si>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</si>
  <si>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</si>
  <si>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</si>
  <si>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</si>
  <si>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</si>
  <si>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</si>
  <si>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</si>
  <si>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</si>
  <si>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</si>
  <si>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</si>
  <si>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</si>
  <si>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</si>
  <si>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</si>
  <si>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</si>
  <si>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</si>
  <si>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</si>
  <si>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</si>
  <si>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</si>
  <si>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</si>
  <si>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Dunbarton School District</t>
  </si>
  <si>
    <t>01/17</t>
  </si>
  <si>
    <t>12/06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</si>
</sst>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01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149</v>
      </c>
      <c r="C2" s="21">
        <v>149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1313884.05</v>
      </c>
      <c r="G9" s="18">
        <v>0</v>
      </c>
      <c r="H9" s="18">
        <v>0</v>
      </c>
      <c r="I9" s="18">
        <v>0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SUM(I441)</f>
        <v>200630.69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0</v>
      </c>
      <c r="H13" s="18">
        <v>0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1805.76</v>
      </c>
      <c r="G14" s="18">
        <v>2854.28</v>
      </c>
      <c r="H14" s="18">
        <v>26559.53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450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1316139.81</v>
      </c>
      <c r="G19" s="41">
        <f>SUM(G9:G18)</f>
        <v>2854.28</v>
      </c>
      <c r="H19" s="41">
        <f>SUM(H9:H18)</f>
        <v>26559.53</v>
      </c>
      <c r="I19" s="41">
        <f>SUM(I9:I18)</f>
        <v>0</v>
      </c>
      <c r="J19" s="41">
        <f>SUM(J9:J18)</f>
        <v>200630.69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1316139.81-104963.04-277740.96</f>
        <v>933435.81</v>
      </c>
      <c r="G22" s="18">
        <f>2854.28-1463.45</f>
        <v>1390.8300000000002</v>
      </c>
      <c r="H22" s="18">
        <v>25392.63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75701.76+55.41</f>
        <v>75757.17</v>
      </c>
      <c r="G24" s="18">
        <v>0</v>
      </c>
      <c r="H24" s="18">
        <v>1166.9000000000001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27177.33</v>
      </c>
      <c r="G25" s="145">
        <v>1463.45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1400.79+627.75</f>
        <v>2028.54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1038398.8500000001</v>
      </c>
      <c r="G32" s="41">
        <f>SUM(G22:G31)</f>
        <v>2854.28</v>
      </c>
      <c r="H32" s="41">
        <f>SUM(H22:H31)</f>
        <v>26559.530000000002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0</v>
      </c>
      <c r="H48" s="18">
        <v>0</v>
      </c>
      <c r="I48" s="18">
        <v>0</v>
      </c>
      <c r="J48" s="13">
        <f>SUM(I459)</f>
        <v>200630.69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F476-1000</f>
        <v>276740.95999999996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277740.95999999996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200630.69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1316139.81</v>
      </c>
      <c r="G52" s="41">
        <f>G51+G32</f>
        <v>2854.28</v>
      </c>
      <c r="H52" s="41">
        <f>H51+H32</f>
        <v>26559.530000000002</v>
      </c>
      <c r="I52" s="41">
        <f>I51+I32</f>
        <v>0</v>
      </c>
      <c r="J52" s="41">
        <f>J51+J32</f>
        <v>200630.69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3872435</v>
      </c>
      <c r="G57" s="18">
        <v>0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3872435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139.53</v>
      </c>
      <c r="G96" s="18">
        <v>0</v>
      </c>
      <c r="H96" s="18">
        <v>0</v>
      </c>
      <c r="I96" s="18">
        <v>0</v>
      </c>
      <c r="J96" s="18">
        <v>37.68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31579.25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2250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1000+13514.29+7065+31570</f>
        <v>53149.29</v>
      </c>
      <c r="G110" s="18">
        <v>0</v>
      </c>
      <c r="H110" s="18">
        <v>0</v>
      </c>
      <c r="I110" s="18">
        <v>0</v>
      </c>
      <c r="J110" s="18">
        <v>0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55538.82</v>
      </c>
      <c r="G111" s="41">
        <f>SUM(G96:G110)</f>
        <v>31579.25</v>
      </c>
      <c r="H111" s="41">
        <f>SUM(H96:H110)</f>
        <v>0</v>
      </c>
      <c r="I111" s="41">
        <f>SUM(I96:I110)</f>
        <v>0</v>
      </c>
      <c r="J111" s="41">
        <f>SUM(J96:J110)</f>
        <v>37.68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3927973.82</v>
      </c>
      <c r="G112" s="41">
        <f>G60+G111</f>
        <v>31579.25</v>
      </c>
      <c r="H112" s="41">
        <f>H60+H79+H94+H111</f>
        <v>0</v>
      </c>
      <c r="I112" s="41">
        <f>I60+I111</f>
        <v>0</v>
      </c>
      <c r="J112" s="41">
        <f>J60+J111</f>
        <v>37.68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630312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639901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1270213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16672.04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5295.73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634.91+1740.19</f>
        <v>2375.1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21967.77</v>
      </c>
      <c r="G136" s="41">
        <f>SUM(G123:G135)</f>
        <v>2375.1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1292180.77</v>
      </c>
      <c r="G140" s="41">
        <f>G121+SUM(G136:G137)</f>
        <v>2375.1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11629.42+27350</f>
        <v>38979.42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14744+2017.19</f>
        <v>16761.189999999999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11283.97-634.91</f>
        <v>10649.06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f>53759+10069.35</f>
        <v>63828.35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43348.3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43348.3</v>
      </c>
      <c r="G162" s="41">
        <f>SUM(G150:G161)</f>
        <v>10649.06</v>
      </c>
      <c r="H162" s="41">
        <f>SUM(H150:H161)</f>
        <v>119568.95999999999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43348.3</v>
      </c>
      <c r="G169" s="41">
        <f>G147+G162+SUM(G163:G168)</f>
        <v>10649.06</v>
      </c>
      <c r="H169" s="41">
        <f>H147+H162+SUM(H163:H168)</f>
        <v>119568.95999999999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17506.77</v>
      </c>
      <c r="H179" s="18">
        <v>0</v>
      </c>
      <c r="I179" s="18">
        <v>0</v>
      </c>
      <c r="J179" s="18">
        <v>32570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>
        <v>0</v>
      </c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>
        <v>0</v>
      </c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17506.77</v>
      </c>
      <c r="H183" s="41">
        <f>SUM(H179:H182)</f>
        <v>0</v>
      </c>
      <c r="I183" s="41">
        <f>SUM(I179:I182)</f>
        <v>0</v>
      </c>
      <c r="J183" s="41">
        <f>SUM(J179:J182)</f>
        <v>32570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17506.77</v>
      </c>
      <c r="H192" s="41">
        <f>+H183+SUM(H188:H191)</f>
        <v>0</v>
      </c>
      <c r="I192" s="41">
        <f>I177+I183+SUM(I188:I191)</f>
        <v>0</v>
      </c>
      <c r="J192" s="41">
        <f>J183</f>
        <v>32570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5263502.8899999997</v>
      </c>
      <c r="G193" s="47">
        <f>G112+G140+G169+G192</f>
        <v>62110.179999999993</v>
      </c>
      <c r="H193" s="47">
        <f>H112+H140+H169+H192</f>
        <v>119568.95999999999</v>
      </c>
      <c r="I193" s="47">
        <f>I112+I140+I169+I192</f>
        <v>0</v>
      </c>
      <c r="J193" s="47">
        <f>J112+J140+J192</f>
        <v>32607.68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732877.46+39369+48120.29</f>
        <v>820366.75</v>
      </c>
      <c r="G197" s="18">
        <f>8214.89+292314.91</f>
        <v>300529.8</v>
      </c>
      <c r="H197" s="18">
        <v>0</v>
      </c>
      <c r="I197" s="18">
        <f>17898.49+1086.41+346.03+560.66+1630.66+7081.08+4486.29</f>
        <v>33089.620000000003</v>
      </c>
      <c r="J197" s="18">
        <v>0</v>
      </c>
      <c r="K197" s="18">
        <v>100</v>
      </c>
      <c r="L197" s="19">
        <f>SUM(F197:K197)</f>
        <v>1154086.1700000002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50605.77+127500.26+70040</f>
        <v>248146.03</v>
      </c>
      <c r="G198" s="18">
        <v>84084.7</v>
      </c>
      <c r="H198" s="18">
        <f>2025+78305.38+195+30759.14+87.36+670</f>
        <v>112041.88</v>
      </c>
      <c r="I198" s="18">
        <f>3024.96+1902.19+284.73</f>
        <v>5211.8799999999992</v>
      </c>
      <c r="J198" s="18">
        <f>978.25+442.68+527.95</f>
        <v>1948.88</v>
      </c>
      <c r="K198" s="18">
        <v>125</v>
      </c>
      <c r="L198" s="19">
        <f>SUM(F198:K198)</f>
        <v>451558.37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1000</v>
      </c>
      <c r="G200" s="18">
        <v>223.28</v>
      </c>
      <c r="H200" s="18">
        <v>9382</v>
      </c>
      <c r="I200" s="18">
        <v>219.4</v>
      </c>
      <c r="J200" s="18">
        <v>0</v>
      </c>
      <c r="K200" s="18">
        <f>11818.3</f>
        <v>11818.3</v>
      </c>
      <c r="L200" s="19">
        <f>SUM(F200:K200)</f>
        <v>22642.98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19647.92+46118.5+33774.7+38547.5</f>
        <v>138088.62</v>
      </c>
      <c r="G202" s="18">
        <f>1642.65+28440.31+4221.39+22788.04</f>
        <v>57092.390000000007</v>
      </c>
      <c r="H202" s="18">
        <f>202.53+29816.78+67242.5+2183.8+668.75</f>
        <v>100114.36</v>
      </c>
      <c r="I202" s="18">
        <f>112.3+1016.09+269.64+119.72</f>
        <v>1517.7500000000002</v>
      </c>
      <c r="J202" s="18">
        <v>0</v>
      </c>
      <c r="K202" s="18">
        <v>0</v>
      </c>
      <c r="L202" s="19">
        <f t="shared" ref="L202:L208" si="0">SUM(F202:K202)</f>
        <v>296813.12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34680+19145.43</f>
        <v>53825.43</v>
      </c>
      <c r="G203" s="18">
        <v>11885.67</v>
      </c>
      <c r="H203" s="18">
        <f>33506.43+1565.78+2170.93</f>
        <v>37243.14</v>
      </c>
      <c r="I203" s="18">
        <f>463.58+3410.09+231.88+1759.48+180</f>
        <v>6045.0300000000007</v>
      </c>
      <c r="J203" s="18">
        <v>36102.83</v>
      </c>
      <c r="K203" s="18">
        <v>70</v>
      </c>
      <c r="L203" s="19">
        <f t="shared" si="0"/>
        <v>145172.1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2500+694.26+400+100</f>
        <v>3694.26</v>
      </c>
      <c r="G204" s="18">
        <f>217.18+31.41</f>
        <v>248.59</v>
      </c>
      <c r="H204" s="18">
        <f>477.5+590.11+3676+13644.4+138773</f>
        <v>157161.01</v>
      </c>
      <c r="I204" s="18">
        <f>436.31+21.95</f>
        <v>458.26</v>
      </c>
      <c r="J204" s="18">
        <v>0</v>
      </c>
      <c r="K204" s="18">
        <f>3116.4</f>
        <v>3116.4</v>
      </c>
      <c r="L204" s="19">
        <f t="shared" si="0"/>
        <v>164678.52000000002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87550+47113.01</f>
        <v>134663.01</v>
      </c>
      <c r="G205" s="18">
        <v>50100.99</v>
      </c>
      <c r="H205" s="18">
        <f>755+5208.44+1160.23</f>
        <v>7123.67</v>
      </c>
      <c r="I205" s="18">
        <f>553.89</f>
        <v>553.89</v>
      </c>
      <c r="J205" s="18">
        <v>0</v>
      </c>
      <c r="K205" s="18">
        <f>515</f>
        <v>515</v>
      </c>
      <c r="L205" s="19">
        <f t="shared" si="0"/>
        <v>192956.56000000003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94206.16</f>
        <v>94206.16</v>
      </c>
      <c r="G207" s="18">
        <v>20066.349999999999</v>
      </c>
      <c r="H207" s="18">
        <f>5716.52+26435.04+25574.32+6010.12+5241.36</f>
        <v>68977.36</v>
      </c>
      <c r="I207" s="18">
        <f>9960.37+31347.96+1264.58+31378.58</f>
        <v>73951.490000000005</v>
      </c>
      <c r="J207" s="18">
        <v>0</v>
      </c>
      <c r="K207" s="18">
        <v>0</v>
      </c>
      <c r="L207" s="19">
        <f t="shared" si="0"/>
        <v>257201.36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f>257579.71+44693.16+3417.28</f>
        <v>305690.15000000002</v>
      </c>
      <c r="I208" s="18">
        <v>0</v>
      </c>
      <c r="J208" s="18">
        <v>0</v>
      </c>
      <c r="K208" s="18">
        <v>0</v>
      </c>
      <c r="L208" s="19">
        <f t="shared" si="0"/>
        <v>305690.15000000002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1493990.2599999998</v>
      </c>
      <c r="G211" s="41">
        <f t="shared" si="1"/>
        <v>524231.77</v>
      </c>
      <c r="H211" s="41">
        <f t="shared" si="1"/>
        <v>797733.57000000007</v>
      </c>
      <c r="I211" s="41">
        <f t="shared" si="1"/>
        <v>121047.32</v>
      </c>
      <c r="J211" s="41">
        <f t="shared" si="1"/>
        <v>38051.71</v>
      </c>
      <c r="K211" s="41">
        <f t="shared" si="1"/>
        <v>15744.699999999999</v>
      </c>
      <c r="L211" s="41">
        <f t="shared" si="1"/>
        <v>2990799.33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0</v>
      </c>
      <c r="G215" s="18">
        <v>0</v>
      </c>
      <c r="H215" s="18">
        <v>672202.72</v>
      </c>
      <c r="I215" s="18">
        <v>0</v>
      </c>
      <c r="J215" s="18">
        <v>0</v>
      </c>
      <c r="K215" s="18">
        <v>0</v>
      </c>
      <c r="L215" s="19">
        <f>SUM(F215:K215)</f>
        <v>672202.72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0</v>
      </c>
      <c r="G216" s="18">
        <v>0</v>
      </c>
      <c r="H216" s="18">
        <f>582.5+23837.12+934.44+100.8</f>
        <v>25454.859999999997</v>
      </c>
      <c r="I216" s="18">
        <v>349.9</v>
      </c>
      <c r="J216" s="18">
        <v>0</v>
      </c>
      <c r="K216" s="18">
        <v>0</v>
      </c>
      <c r="L216" s="19">
        <f>SUM(F216:K216)</f>
        <v>25804.76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f>610.02</f>
        <v>610.02</v>
      </c>
      <c r="I226" s="18">
        <v>0</v>
      </c>
      <c r="J226" s="18">
        <v>0</v>
      </c>
      <c r="K226" s="18">
        <v>0</v>
      </c>
      <c r="L226" s="19">
        <f t="shared" si="2"/>
        <v>610.02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698267.6</v>
      </c>
      <c r="I229" s="41">
        <f>SUM(I215:I228)</f>
        <v>349.9</v>
      </c>
      <c r="J229" s="41">
        <f>SUM(J215:J228)</f>
        <v>0</v>
      </c>
      <c r="K229" s="41">
        <f t="shared" si="3"/>
        <v>0</v>
      </c>
      <c r="L229" s="41">
        <f t="shared" si="3"/>
        <v>698617.5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0</v>
      </c>
      <c r="G233" s="18">
        <v>0</v>
      </c>
      <c r="H233" s="18">
        <v>1459155.86</v>
      </c>
      <c r="I233" s="18">
        <v>0</v>
      </c>
      <c r="J233" s="18">
        <v>0</v>
      </c>
      <c r="K233" s="18">
        <v>0</v>
      </c>
      <c r="L233" s="19">
        <f>SUM(F233:K233)</f>
        <v>1459155.86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0</v>
      </c>
      <c r="G234" s="18">
        <v>0</v>
      </c>
      <c r="H234" s="18">
        <v>161083.54</v>
      </c>
      <c r="I234" s="18">
        <v>0</v>
      </c>
      <c r="J234" s="18">
        <v>0</v>
      </c>
      <c r="K234" s="18">
        <v>0</v>
      </c>
      <c r="L234" s="19">
        <f>SUM(F234:K234)</f>
        <v>161083.54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0</v>
      </c>
      <c r="G238" s="18">
        <v>0</v>
      </c>
      <c r="H238" s="18">
        <f>3282.9</f>
        <v>3282.9</v>
      </c>
      <c r="I238" s="18">
        <v>0</v>
      </c>
      <c r="J238" s="18">
        <v>0</v>
      </c>
      <c r="K238" s="18">
        <v>0</v>
      </c>
      <c r="L238" s="19">
        <f t="shared" ref="L238:L244" si="4">SUM(F238:K238)</f>
        <v>3282.9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66805.53</v>
      </c>
      <c r="I244" s="18">
        <v>0</v>
      </c>
      <c r="J244" s="18">
        <v>0</v>
      </c>
      <c r="K244" s="18">
        <v>0</v>
      </c>
      <c r="L244" s="19">
        <f t="shared" si="4"/>
        <v>66805.53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1690327.83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1690327.83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5000</v>
      </c>
      <c r="I255" s="18">
        <v>0</v>
      </c>
      <c r="J255" s="18">
        <v>0</v>
      </c>
      <c r="K255" s="18">
        <v>0</v>
      </c>
      <c r="L255" s="19">
        <f t="shared" si="6"/>
        <v>5000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5000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5000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1493990.2599999998</v>
      </c>
      <c r="G257" s="41">
        <f t="shared" si="8"/>
        <v>524231.77</v>
      </c>
      <c r="H257" s="41">
        <f t="shared" si="8"/>
        <v>3191329</v>
      </c>
      <c r="I257" s="41">
        <f t="shared" si="8"/>
        <v>121397.22</v>
      </c>
      <c r="J257" s="41">
        <f t="shared" si="8"/>
        <v>38051.71</v>
      </c>
      <c r="K257" s="41">
        <f t="shared" si="8"/>
        <v>15744.699999999999</v>
      </c>
      <c r="L257" s="41">
        <f t="shared" si="8"/>
        <v>5384744.6600000001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70000</v>
      </c>
      <c r="L260" s="19">
        <f>SUM(F260:K260)</f>
        <v>70000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6982.5</v>
      </c>
      <c r="L261" s="19">
        <f>SUM(F261:K261)</f>
        <v>6982.5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17506.77</v>
      </c>
      <c r="L263" s="19">
        <f>SUM(F263:K263)</f>
        <v>17506.77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1000+31570</f>
        <v>32570</v>
      </c>
      <c r="L266" s="19">
        <f t="shared" si="9"/>
        <v>32570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127059.27</v>
      </c>
      <c r="L270" s="41">
        <f t="shared" si="9"/>
        <v>127059.27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1493990.2599999998</v>
      </c>
      <c r="G271" s="42">
        <f t="shared" si="11"/>
        <v>524231.77</v>
      </c>
      <c r="H271" s="42">
        <f t="shared" si="11"/>
        <v>3191329</v>
      </c>
      <c r="I271" s="42">
        <f t="shared" si="11"/>
        <v>121397.22</v>
      </c>
      <c r="J271" s="42">
        <f t="shared" si="11"/>
        <v>38051.71</v>
      </c>
      <c r="K271" s="42">
        <f t="shared" si="11"/>
        <v>142803.97</v>
      </c>
      <c r="L271" s="42">
        <f t="shared" si="11"/>
        <v>5511803.9299999997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8731+1008.5+9200</f>
        <v>18939.5</v>
      </c>
      <c r="G276" s="18">
        <f>667.92+77.15+703.8+1231.92</f>
        <v>2680.79</v>
      </c>
      <c r="H276" s="18">
        <v>0</v>
      </c>
      <c r="I276" s="18">
        <v>14744</v>
      </c>
      <c r="J276" s="18">
        <v>0</v>
      </c>
      <c r="K276" s="18">
        <f>191.2+165.55</f>
        <v>356.75</v>
      </c>
      <c r="L276" s="19">
        <f>SUM(F276:K276)</f>
        <v>36721.040000000001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37320+12855.3+4770.25</f>
        <v>54945.55</v>
      </c>
      <c r="G277" s="18">
        <f>7019.38+381+2855+5285+1348.35</f>
        <v>16888.73</v>
      </c>
      <c r="H277" s="18">
        <v>0</v>
      </c>
      <c r="I277" s="18">
        <f>8053.9</f>
        <v>8053.9</v>
      </c>
      <c r="J277" s="18">
        <v>0</v>
      </c>
      <c r="K277" s="18">
        <f>322.2+898.62</f>
        <v>1220.82</v>
      </c>
      <c r="L277" s="19">
        <f>SUM(F277:K277)</f>
        <v>81109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750+765</f>
        <v>1515</v>
      </c>
      <c r="G282" s="18">
        <f>57.38+58.22+108.32</f>
        <v>223.92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1738.92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75400.05</v>
      </c>
      <c r="G290" s="42">
        <f t="shared" si="13"/>
        <v>19793.439999999999</v>
      </c>
      <c r="H290" s="42">
        <f t="shared" si="13"/>
        <v>0</v>
      </c>
      <c r="I290" s="42">
        <f t="shared" si="13"/>
        <v>22797.9</v>
      </c>
      <c r="J290" s="42">
        <f t="shared" si="13"/>
        <v>0</v>
      </c>
      <c r="K290" s="42">
        <f t="shared" si="13"/>
        <v>1577.57</v>
      </c>
      <c r="L290" s="41">
        <f t="shared" si="13"/>
        <v>119568.96000000001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75400.05</v>
      </c>
      <c r="G338" s="41">
        <f t="shared" si="20"/>
        <v>19793.439999999999</v>
      </c>
      <c r="H338" s="41">
        <f t="shared" si="20"/>
        <v>0</v>
      </c>
      <c r="I338" s="41">
        <f t="shared" si="20"/>
        <v>22797.9</v>
      </c>
      <c r="J338" s="41">
        <f t="shared" si="20"/>
        <v>0</v>
      </c>
      <c r="K338" s="41">
        <f t="shared" si="20"/>
        <v>1577.57</v>
      </c>
      <c r="L338" s="41">
        <f t="shared" si="20"/>
        <v>119568.96000000001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75400.05</v>
      </c>
      <c r="G352" s="41">
        <f>G338</f>
        <v>19793.439999999999</v>
      </c>
      <c r="H352" s="41">
        <f>H338</f>
        <v>0</v>
      </c>
      <c r="I352" s="41">
        <f>I338</f>
        <v>22797.9</v>
      </c>
      <c r="J352" s="41">
        <f>J338</f>
        <v>0</v>
      </c>
      <c r="K352" s="47">
        <f>K338+K351</f>
        <v>1577.57</v>
      </c>
      <c r="L352" s="41">
        <f>L338+L351</f>
        <v>119568.96000000001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29465.14</v>
      </c>
      <c r="G358" s="18">
        <v>2940.97</v>
      </c>
      <c r="H358" s="18">
        <v>327</v>
      </c>
      <c r="I358" s="18">
        <f>113.77+23079.68+2330.78+1872.64+1303+460.66</f>
        <v>29160.53</v>
      </c>
      <c r="J358" s="18">
        <v>216.54</v>
      </c>
      <c r="K358" s="18">
        <v>0</v>
      </c>
      <c r="L358" s="13">
        <f>SUM(F358:K358)</f>
        <v>62110.18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v>0</v>
      </c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29465.14</v>
      </c>
      <c r="G362" s="47">
        <f t="shared" si="22"/>
        <v>2940.97</v>
      </c>
      <c r="H362" s="47">
        <f t="shared" si="22"/>
        <v>327</v>
      </c>
      <c r="I362" s="47">
        <f t="shared" si="22"/>
        <v>29160.53</v>
      </c>
      <c r="J362" s="47">
        <f t="shared" si="22"/>
        <v>216.54</v>
      </c>
      <c r="K362" s="47">
        <f t="shared" si="22"/>
        <v>0</v>
      </c>
      <c r="L362" s="47">
        <f t="shared" si="22"/>
        <v>62110.18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23079.68+2330.78+1872.64+460.66</f>
        <v>27743.759999999998</v>
      </c>
      <c r="G367" s="18">
        <v>0</v>
      </c>
      <c r="H367" s="18">
        <v>0</v>
      </c>
      <c r="I367" s="56">
        <f>SUM(F367:H367)</f>
        <v>27743.759999999998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113.77+1303</f>
        <v>1416.77</v>
      </c>
      <c r="G368" s="63">
        <v>0</v>
      </c>
      <c r="H368" s="63">
        <v>0</v>
      </c>
      <c r="I368" s="56">
        <f>SUM(F368:H368)</f>
        <v>1416.77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29160.53</v>
      </c>
      <c r="G369" s="47">
        <f>SUM(G367:G368)</f>
        <v>0</v>
      </c>
      <c r="H369" s="47">
        <f>SUM(H367:H368)</f>
        <v>0</v>
      </c>
      <c r="I369" s="47">
        <f>SUM(I367:I368)</f>
        <v>29160.53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>
        <v>0</v>
      </c>
      <c r="G396" s="18">
        <v>31570</v>
      </c>
      <c r="H396" s="18">
        <v>17.46</v>
      </c>
      <c r="I396" s="18">
        <v>0</v>
      </c>
      <c r="J396" s="24" t="s">
        <v>289</v>
      </c>
      <c r="K396" s="24" t="s">
        <v>289</v>
      </c>
      <c r="L396" s="56">
        <f t="shared" si="26"/>
        <v>31587.46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>
        <v>0</v>
      </c>
      <c r="G397" s="18">
        <v>0</v>
      </c>
      <c r="H397" s="18">
        <v>20.22</v>
      </c>
      <c r="I397" s="18">
        <v>0</v>
      </c>
      <c r="J397" s="24" t="s">
        <v>289</v>
      </c>
      <c r="K397" s="24" t="s">
        <v>289</v>
      </c>
      <c r="L397" s="56">
        <f t="shared" si="26"/>
        <v>20.22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>
        <v>0</v>
      </c>
      <c r="G400" s="18">
        <v>1000</v>
      </c>
      <c r="H400" s="18">
        <v>0</v>
      </c>
      <c r="I400" s="18">
        <v>0</v>
      </c>
      <c r="J400" s="24" t="s">
        <v>289</v>
      </c>
      <c r="K400" s="24" t="s">
        <v>289</v>
      </c>
      <c r="L400" s="56">
        <f t="shared" si="26"/>
        <v>1000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32570</v>
      </c>
      <c r="H401" s="47">
        <f>SUM(H395:H400)</f>
        <v>37.68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32607.68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32570</v>
      </c>
      <c r="H408" s="47">
        <f>H393+H401+H407</f>
        <v>37.68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32607.68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f>91540.03+1006.93</f>
        <v>92546.959999999992</v>
      </c>
      <c r="G441" s="18">
        <v>108083.73</v>
      </c>
      <c r="H441" s="18">
        <v>0</v>
      </c>
      <c r="I441" s="56">
        <f t="shared" si="33"/>
        <v>200630.69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92546.959999999992</v>
      </c>
      <c r="G446" s="13">
        <f>SUM(G439:G445)</f>
        <v>108083.73</v>
      </c>
      <c r="H446" s="13">
        <f>SUM(H439:H445)</f>
        <v>0</v>
      </c>
      <c r="I446" s="13">
        <f>SUM(I439:I445)</f>
        <v>200630.69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92546.96</v>
      </c>
      <c r="G459" s="18">
        <v>108083.73</v>
      </c>
      <c r="H459" s="18">
        <v>0</v>
      </c>
      <c r="I459" s="56">
        <f t="shared" si="34"/>
        <v>200630.69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92546.96</v>
      </c>
      <c r="G460" s="83">
        <f>SUM(G454:G459)</f>
        <v>108083.73</v>
      </c>
      <c r="H460" s="83">
        <f>SUM(H454:H459)</f>
        <v>0</v>
      </c>
      <c r="I460" s="83">
        <f>SUM(I454:I459)</f>
        <v>200630.69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92546.96</v>
      </c>
      <c r="G461" s="42">
        <f>G452+G460</f>
        <v>108083.73</v>
      </c>
      <c r="H461" s="42">
        <f>H452+H460</f>
        <v>0</v>
      </c>
      <c r="I461" s="42">
        <f>I452+I460</f>
        <v>200630.69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526042</v>
      </c>
      <c r="G465" s="18">
        <v>0</v>
      </c>
      <c r="H465" s="18">
        <v>0</v>
      </c>
      <c r="I465" s="18">
        <v>0</v>
      </c>
      <c r="J465" s="18">
        <v>168023.01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5263502.8899999997</v>
      </c>
      <c r="G468" s="18">
        <f>G193</f>
        <v>62110.179999999993</v>
      </c>
      <c r="H468" s="18">
        <f>H193</f>
        <v>119568.95999999999</v>
      </c>
      <c r="I468" s="18">
        <f>I193</f>
        <v>0</v>
      </c>
      <c r="J468" s="18">
        <f>L408</f>
        <v>32607.68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0</v>
      </c>
      <c r="G469" s="18">
        <v>0</v>
      </c>
      <c r="H469" s="18">
        <v>0</v>
      </c>
      <c r="I469" s="18">
        <v>0</v>
      </c>
      <c r="J469" s="18"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5263502.8899999997</v>
      </c>
      <c r="G470" s="53">
        <f>SUM(G468:G469)</f>
        <v>62110.179999999993</v>
      </c>
      <c r="H470" s="53">
        <f>SUM(H468:H469)</f>
        <v>119568.95999999999</v>
      </c>
      <c r="I470" s="53">
        <f>SUM(I468:I469)</f>
        <v>0</v>
      </c>
      <c r="J470" s="53">
        <f>SUM(J468:J469)</f>
        <v>32607.68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5511803.9299999997</v>
      </c>
      <c r="G472" s="18">
        <f>L362</f>
        <v>62110.18</v>
      </c>
      <c r="H472" s="18">
        <f>L352</f>
        <v>119568.96000000001</v>
      </c>
      <c r="I472" s="18">
        <f>L382</f>
        <v>0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0</v>
      </c>
      <c r="G473" s="18">
        <v>0</v>
      </c>
      <c r="H473" s="18">
        <v>0</v>
      </c>
      <c r="I473" s="18">
        <v>0</v>
      </c>
      <c r="J473" s="18"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5511803.9299999997</v>
      </c>
      <c r="G474" s="53">
        <f>SUM(G472:G473)</f>
        <v>62110.18</v>
      </c>
      <c r="H474" s="53">
        <f>SUM(H472:H473)</f>
        <v>119568.96000000001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277740.95999999996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200630.69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487000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4.75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f>70000+75000+37000</f>
        <v>182000</v>
      </c>
      <c r="G495" s="18"/>
      <c r="H495" s="18"/>
      <c r="I495" s="18"/>
      <c r="J495" s="18"/>
      <c r="K495" s="53">
        <f>SUM(F495:J495)</f>
        <v>182000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70000</v>
      </c>
      <c r="G497" s="18"/>
      <c r="H497" s="18"/>
      <c r="I497" s="18"/>
      <c r="J497" s="18"/>
      <c r="K497" s="53">
        <f t="shared" si="35"/>
        <v>70000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112000</v>
      </c>
      <c r="G498" s="204"/>
      <c r="H498" s="204"/>
      <c r="I498" s="204"/>
      <c r="J498" s="204"/>
      <c r="K498" s="205">
        <f t="shared" si="35"/>
        <v>112000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2660+878.75+878.75</f>
        <v>4417.5</v>
      </c>
      <c r="G499" s="18"/>
      <c r="H499" s="18"/>
      <c r="I499" s="18"/>
      <c r="J499" s="18"/>
      <c r="K499" s="53">
        <f t="shared" si="35"/>
        <v>4417.5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116417.5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116417.5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75000</v>
      </c>
      <c r="G501" s="204"/>
      <c r="H501" s="204"/>
      <c r="I501" s="204"/>
      <c r="J501" s="204"/>
      <c r="K501" s="205">
        <f t="shared" si="35"/>
        <v>75000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2660+878.75</f>
        <v>3538.75</v>
      </c>
      <c r="G502" s="18"/>
      <c r="H502" s="18"/>
      <c r="I502" s="18"/>
      <c r="J502" s="18"/>
      <c r="K502" s="53">
        <f t="shared" si="35"/>
        <v>3538.75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78538.75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78538.75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50605.77+127500.26+70040+37320</f>
        <v>285466.03000000003</v>
      </c>
      <c r="G521" s="18">
        <f>84084.7+7019.38+381+2855+5285</f>
        <v>99625.08</v>
      </c>
      <c r="H521" s="18">
        <f>2025+78305.38+195+30759.14+87.36</f>
        <v>111371.88</v>
      </c>
      <c r="I521" s="18">
        <f>3024.96+1902.19+284.73</f>
        <v>5211.8799999999992</v>
      </c>
      <c r="J521" s="18">
        <f>978.25+442.68+527.95</f>
        <v>1948.88</v>
      </c>
      <c r="K521" s="18">
        <v>125</v>
      </c>
      <c r="L521" s="88">
        <f>SUM(F521:K521)</f>
        <v>503748.75000000006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0</v>
      </c>
      <c r="G522" s="18">
        <v>0</v>
      </c>
      <c r="H522" s="18">
        <f>582.5+23837.12+934.44+100.8</f>
        <v>25454.859999999997</v>
      </c>
      <c r="I522" s="18">
        <v>349.9</v>
      </c>
      <c r="J522" s="18">
        <v>0</v>
      </c>
      <c r="K522" s="18">
        <v>0</v>
      </c>
      <c r="L522" s="88">
        <f>SUM(F522:K522)</f>
        <v>25804.76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0</v>
      </c>
      <c r="G523" s="18">
        <v>0</v>
      </c>
      <c r="H523" s="18">
        <f>161083.54</f>
        <v>161083.54</v>
      </c>
      <c r="I523" s="18">
        <v>0</v>
      </c>
      <c r="J523" s="18">
        <v>0</v>
      </c>
      <c r="K523" s="18">
        <v>0</v>
      </c>
      <c r="L523" s="88">
        <f>SUM(F523:K523)</f>
        <v>161083.54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285466.03000000003</v>
      </c>
      <c r="G524" s="108">
        <f t="shared" ref="G524:L524" si="36">SUM(G521:G523)</f>
        <v>99625.08</v>
      </c>
      <c r="H524" s="108">
        <f t="shared" si="36"/>
        <v>297910.28000000003</v>
      </c>
      <c r="I524" s="108">
        <f t="shared" si="36"/>
        <v>5561.7799999999988</v>
      </c>
      <c r="J524" s="108">
        <f t="shared" si="36"/>
        <v>1948.88</v>
      </c>
      <c r="K524" s="108">
        <f t="shared" si="36"/>
        <v>125</v>
      </c>
      <c r="L524" s="89">
        <f t="shared" si="36"/>
        <v>690637.05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33774.7+38547.5</f>
        <v>72322.2</v>
      </c>
      <c r="G526" s="18">
        <f>4221.39+22788.04</f>
        <v>27009.43</v>
      </c>
      <c r="H526" s="18">
        <f>2183.8+29816.78+67242.5+668.75</f>
        <v>99911.83</v>
      </c>
      <c r="I526" s="18">
        <f>269.64+119.72</f>
        <v>389.36</v>
      </c>
      <c r="J526" s="18">
        <v>0</v>
      </c>
      <c r="K526" s="18">
        <v>0</v>
      </c>
      <c r="L526" s="88">
        <f>SUM(F526:K526)</f>
        <v>199632.82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0</v>
      </c>
      <c r="G528" s="18">
        <v>0</v>
      </c>
      <c r="H528" s="18">
        <f>3282.9</f>
        <v>3282.9</v>
      </c>
      <c r="I528" s="18">
        <v>0</v>
      </c>
      <c r="J528" s="18">
        <v>0</v>
      </c>
      <c r="K528" s="18">
        <v>0</v>
      </c>
      <c r="L528" s="88">
        <f>SUM(F528:K528)</f>
        <v>3282.9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72322.2</v>
      </c>
      <c r="G529" s="89">
        <f t="shared" ref="G529:L529" si="37">SUM(G526:G528)</f>
        <v>27009.43</v>
      </c>
      <c r="H529" s="89">
        <f t="shared" si="37"/>
        <v>103194.73</v>
      </c>
      <c r="I529" s="89">
        <f t="shared" si="37"/>
        <v>389.36</v>
      </c>
      <c r="J529" s="89">
        <f t="shared" si="37"/>
        <v>0</v>
      </c>
      <c r="K529" s="89">
        <f t="shared" si="37"/>
        <v>0</v>
      </c>
      <c r="L529" s="89">
        <f t="shared" si="37"/>
        <v>202915.72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21799.87</v>
      </c>
      <c r="G531" s="18">
        <v>7661.8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29461.67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18">
        <v>0</v>
      </c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21799.87</v>
      </c>
      <c r="G534" s="89">
        <f t="shared" ref="G534:L534" si="38">SUM(G531:G533)</f>
        <v>7661.8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29461.67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0</v>
      </c>
      <c r="G541" s="18">
        <v>0</v>
      </c>
      <c r="H541" s="18">
        <v>44693.16</v>
      </c>
      <c r="I541" s="18">
        <v>0</v>
      </c>
      <c r="J541" s="18">
        <v>0</v>
      </c>
      <c r="K541" s="18">
        <v>0</v>
      </c>
      <c r="L541" s="88">
        <f>SUM(F541:K541)</f>
        <v>44693.16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0</v>
      </c>
      <c r="G542" s="18">
        <v>0</v>
      </c>
      <c r="H542" s="18">
        <v>610.02</v>
      </c>
      <c r="I542" s="18">
        <v>0</v>
      </c>
      <c r="J542" s="18">
        <v>0</v>
      </c>
      <c r="K542" s="18">
        <v>0</v>
      </c>
      <c r="L542" s="88">
        <f>SUM(F542:K542)</f>
        <v>610.02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0</v>
      </c>
      <c r="G543" s="18">
        <v>0</v>
      </c>
      <c r="H543" s="18">
        <v>66805.53</v>
      </c>
      <c r="I543" s="18">
        <v>0</v>
      </c>
      <c r="J543" s="18">
        <v>0</v>
      </c>
      <c r="K543" s="18">
        <v>0</v>
      </c>
      <c r="L543" s="88">
        <f>SUM(F543:K543)</f>
        <v>66805.53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112108.70999999999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112108.70999999999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379588.10000000003</v>
      </c>
      <c r="G545" s="89">
        <f t="shared" ref="G545:L545" si="41">G524+G529+G534+G539+G544</f>
        <v>134296.31</v>
      </c>
      <c r="H545" s="89">
        <f t="shared" si="41"/>
        <v>513213.72</v>
      </c>
      <c r="I545" s="89">
        <f t="shared" si="41"/>
        <v>5951.1399999999985</v>
      </c>
      <c r="J545" s="89">
        <f t="shared" si="41"/>
        <v>1948.88</v>
      </c>
      <c r="K545" s="89">
        <f t="shared" si="41"/>
        <v>125</v>
      </c>
      <c r="L545" s="89">
        <f t="shared" si="41"/>
        <v>1035123.15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503748.75000000006</v>
      </c>
      <c r="G549" s="87">
        <f>L526</f>
        <v>199632.82</v>
      </c>
      <c r="H549" s="87">
        <f>L531</f>
        <v>29461.67</v>
      </c>
      <c r="I549" s="87">
        <f>L536</f>
        <v>0</v>
      </c>
      <c r="J549" s="87">
        <f>L541</f>
        <v>44693.16</v>
      </c>
      <c r="K549" s="87">
        <f>SUM(F549:J549)</f>
        <v>777536.40000000014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25804.76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610.02</v>
      </c>
      <c r="K550" s="87">
        <f>SUM(F550:J550)</f>
        <v>26414.78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161083.54</v>
      </c>
      <c r="G551" s="87">
        <f>L528</f>
        <v>3282.9</v>
      </c>
      <c r="H551" s="87">
        <f>L533</f>
        <v>0</v>
      </c>
      <c r="I551" s="87">
        <f>L538</f>
        <v>0</v>
      </c>
      <c r="J551" s="87">
        <f>L543</f>
        <v>66805.53</v>
      </c>
      <c r="K551" s="87">
        <f>SUM(F551:J551)</f>
        <v>231171.97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690637.05</v>
      </c>
      <c r="G552" s="89">
        <f t="shared" si="42"/>
        <v>202915.72</v>
      </c>
      <c r="H552" s="89">
        <f t="shared" si="42"/>
        <v>29461.67</v>
      </c>
      <c r="I552" s="89">
        <f t="shared" si="42"/>
        <v>0</v>
      </c>
      <c r="J552" s="89">
        <f t="shared" si="42"/>
        <v>112108.70999999999</v>
      </c>
      <c r="K552" s="89">
        <f t="shared" si="42"/>
        <v>1035123.1500000001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f>12855.3+4770.25</f>
        <v>17625.55</v>
      </c>
      <c r="G557" s="18">
        <f>1348.35</f>
        <v>1348.35</v>
      </c>
      <c r="H557" s="18">
        <v>0</v>
      </c>
      <c r="I557" s="18">
        <v>8053.9</v>
      </c>
      <c r="J557" s="18">
        <v>0</v>
      </c>
      <c r="K557" s="18">
        <v>0</v>
      </c>
      <c r="L557" s="88">
        <f>SUM(F557:K557)</f>
        <v>27027.799999999996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17625.55</v>
      </c>
      <c r="G560" s="108">
        <f t="shared" si="43"/>
        <v>1348.35</v>
      </c>
      <c r="H560" s="108">
        <f t="shared" si="43"/>
        <v>0</v>
      </c>
      <c r="I560" s="108">
        <f t="shared" si="43"/>
        <v>8053.9</v>
      </c>
      <c r="J560" s="108">
        <f t="shared" si="43"/>
        <v>0</v>
      </c>
      <c r="K560" s="108">
        <f t="shared" si="43"/>
        <v>0</v>
      </c>
      <c r="L560" s="89">
        <f t="shared" si="43"/>
        <v>27027.799999999996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0</v>
      </c>
      <c r="G562" s="18">
        <v>0</v>
      </c>
      <c r="H562" s="18">
        <v>670</v>
      </c>
      <c r="I562" s="18">
        <v>0</v>
      </c>
      <c r="J562" s="18">
        <v>0</v>
      </c>
      <c r="K562" s="18">
        <v>0</v>
      </c>
      <c r="L562" s="88">
        <f>SUM(F562:K562)</f>
        <v>670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670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670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17625.55</v>
      </c>
      <c r="G571" s="89">
        <f t="shared" ref="G571:L571" si="46">G560+G565+G570</f>
        <v>1348.35</v>
      </c>
      <c r="H571" s="89">
        <f t="shared" si="46"/>
        <v>670</v>
      </c>
      <c r="I571" s="89">
        <f t="shared" si="46"/>
        <v>8053.9</v>
      </c>
      <c r="J571" s="89">
        <f t="shared" si="46"/>
        <v>0</v>
      </c>
      <c r="K571" s="89">
        <f t="shared" si="46"/>
        <v>0</v>
      </c>
      <c r="L571" s="89">
        <f t="shared" si="46"/>
        <v>27697.799999999996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>
        <v>672202.72</v>
      </c>
      <c r="H575" s="18">
        <v>1459155.86</v>
      </c>
      <c r="I575" s="87">
        <f>SUM(F575:H575)</f>
        <v>2131358.58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0</v>
      </c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7523</v>
      </c>
      <c r="G579" s="18">
        <v>934.44</v>
      </c>
      <c r="H579" s="18">
        <v>22617.18</v>
      </c>
      <c r="I579" s="87">
        <f t="shared" si="47"/>
        <v>31074.620000000003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0</v>
      </c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23236.14</v>
      </c>
      <c r="G582" s="18">
        <v>0</v>
      </c>
      <c r="H582" s="18">
        <v>0</v>
      </c>
      <c r="I582" s="87">
        <f t="shared" si="47"/>
        <v>23236.14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>
        <v>0</v>
      </c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257579.71</v>
      </c>
      <c r="I591" s="18">
        <v>0</v>
      </c>
      <c r="J591" s="18">
        <v>0</v>
      </c>
      <c r="K591" s="104">
        <f t="shared" ref="K591:K597" si="48">SUM(H591:J591)</f>
        <v>257579.71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44693.16</v>
      </c>
      <c r="I592" s="18">
        <v>610.02</v>
      </c>
      <c r="J592" s="18">
        <v>66805.53</v>
      </c>
      <c r="K592" s="104">
        <f t="shared" si="48"/>
        <v>112108.70999999999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>
        <v>0</v>
      </c>
      <c r="J594" s="18">
        <v>0</v>
      </c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3417.28</v>
      </c>
      <c r="I595" s="18">
        <v>0</v>
      </c>
      <c r="J595" s="18">
        <v>0</v>
      </c>
      <c r="K595" s="104">
        <f t="shared" si="48"/>
        <v>3417.28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305690.15000000002</v>
      </c>
      <c r="I598" s="108">
        <f>SUM(I591:I597)</f>
        <v>610.02</v>
      </c>
      <c r="J598" s="108">
        <f>SUM(J591:J597)</f>
        <v>66805.53</v>
      </c>
      <c r="K598" s="108">
        <f>SUM(K591:K597)</f>
        <v>373105.7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J271+J352</f>
        <v>38051.71</v>
      </c>
      <c r="I604" s="18">
        <v>0</v>
      </c>
      <c r="J604" s="18">
        <v>0</v>
      </c>
      <c r="K604" s="104">
        <f>SUM(H604:J604)</f>
        <v>38051.71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38051.71</v>
      </c>
      <c r="I605" s="108">
        <f>SUM(I602:I604)</f>
        <v>0</v>
      </c>
      <c r="J605" s="108">
        <f>SUM(J602:J604)</f>
        <v>0</v>
      </c>
      <c r="K605" s="108">
        <f>SUM(K602:K604)</f>
        <v>38051.71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0</v>
      </c>
      <c r="G613" s="18">
        <v>0</v>
      </c>
      <c r="H613" s="18">
        <v>0</v>
      </c>
      <c r="I613" s="18">
        <v>0</v>
      </c>
      <c r="J613" s="18">
        <v>0</v>
      </c>
      <c r="K613" s="18">
        <v>0</v>
      </c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1316139.81</v>
      </c>
      <c r="H617" s="109">
        <f>SUM(F52)</f>
        <v>1316139.81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2854.28</v>
      </c>
      <c r="H618" s="109">
        <f>SUM(G52)</f>
        <v>2854.28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26559.53</v>
      </c>
      <c r="H619" s="109">
        <f>SUM(H52)</f>
        <v>26559.530000000002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200630.69</v>
      </c>
      <c r="H621" s="109">
        <f>SUM(J52)</f>
        <v>200630.69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277740.95999999996</v>
      </c>
      <c r="H622" s="109">
        <f>F476</f>
        <v>277740.95999999996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200630.69</v>
      </c>
      <c r="H626" s="109">
        <f>J476</f>
        <v>200630.69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5263502.8899999997</v>
      </c>
      <c r="H627" s="104">
        <f>SUM(F468)</f>
        <v>5263502.8899999997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62110.179999999993</v>
      </c>
      <c r="H628" s="104">
        <f>SUM(G468)</f>
        <v>62110.179999999993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119568.95999999999</v>
      </c>
      <c r="H629" s="104">
        <f>SUM(H468)</f>
        <v>119568.95999999999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32607.68</v>
      </c>
      <c r="H631" s="104">
        <f>SUM(J468)</f>
        <v>32607.68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5511803.9299999997</v>
      </c>
      <c r="H632" s="104">
        <f>SUM(F472)</f>
        <v>5511803.9299999997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119568.96000000001</v>
      </c>
      <c r="H633" s="104">
        <f>SUM(H472)</f>
        <v>119568.96000000001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29160.53</v>
      </c>
      <c r="H634" s="104">
        <f>I369</f>
        <v>29160.53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62110.18</v>
      </c>
      <c r="H635" s="104">
        <f>SUM(G472)</f>
        <v>62110.18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32607.68</v>
      </c>
      <c r="H637" s="164">
        <f>SUM(J468)</f>
        <v>32607.68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92546.959999999992</v>
      </c>
      <c r="H639" s="104">
        <f>SUM(F461)</f>
        <v>92546.96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108083.73</v>
      </c>
      <c r="H640" s="104">
        <f>SUM(G461)</f>
        <v>108083.73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200630.69</v>
      </c>
      <c r="H642" s="104">
        <f>SUM(I461)</f>
        <v>200630.69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37.68</v>
      </c>
      <c r="H644" s="104">
        <f>H408</f>
        <v>37.68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32570</v>
      </c>
      <c r="H645" s="104">
        <f>G408</f>
        <v>32570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32607.68</v>
      </c>
      <c r="H646" s="104">
        <f>L408</f>
        <v>32607.68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373105.7</v>
      </c>
      <c r="H647" s="104">
        <f>L208+L226+L244</f>
        <v>373105.70000000007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38051.71</v>
      </c>
      <c r="H648" s="104">
        <f>(J257+J338)-(J255+J336)</f>
        <v>38051.71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305690.15000000002</v>
      </c>
      <c r="H649" s="104">
        <f>H598</f>
        <v>305690.15000000002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610.02</v>
      </c>
      <c r="H650" s="104">
        <f>I598</f>
        <v>610.02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66805.53</v>
      </c>
      <c r="H651" s="104">
        <f>J598</f>
        <v>66805.53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17506.77</v>
      </c>
      <c r="H652" s="104">
        <f>K263+K345</f>
        <v>17506.77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32570</v>
      </c>
      <c r="H655" s="104">
        <f>K266+K347</f>
        <v>32570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3172478.47</v>
      </c>
      <c r="G660" s="19">
        <f>(L229+L309+L359)</f>
        <v>698617.5</v>
      </c>
      <c r="H660" s="19">
        <f>(L247+L328+L360)</f>
        <v>1690327.83</v>
      </c>
      <c r="I660" s="19">
        <f>SUM(F660:H660)</f>
        <v>5561423.8000000007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31579.25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31579.25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305690.15000000002</v>
      </c>
      <c r="G662" s="19">
        <f>(L226+L306)-(J226+J306)</f>
        <v>610.02</v>
      </c>
      <c r="H662" s="19">
        <f>(L244+L325)-(J244+J325)</f>
        <v>66805.53</v>
      </c>
      <c r="I662" s="19">
        <f>SUM(F662:H662)</f>
        <v>373105.70000000007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68810.850000000006</v>
      </c>
      <c r="G663" s="199">
        <f>SUM(G575:G587)+SUM(I602:I604)+L612</f>
        <v>673137.15999999992</v>
      </c>
      <c r="H663" s="199">
        <f>SUM(H575:H587)+SUM(J602:J604)+L613</f>
        <v>1481773.04</v>
      </c>
      <c r="I663" s="19">
        <f>SUM(F663:H663)</f>
        <v>2223721.0499999998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2766398.22</v>
      </c>
      <c r="G664" s="19">
        <f>G660-SUM(G661:G663)</f>
        <v>24870.320000000065</v>
      </c>
      <c r="H664" s="19">
        <f>H660-SUM(H661:H663)</f>
        <v>141749.26</v>
      </c>
      <c r="I664" s="19">
        <f>I660-SUM(I661:I663)</f>
        <v>2933017.8000000007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190.47</v>
      </c>
      <c r="G665" s="248"/>
      <c r="H665" s="248"/>
      <c r="I665" s="19">
        <f>SUM(F665:H665)</f>
        <v>190.47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14524.06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15398.84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-24870.32</v>
      </c>
      <c r="H669" s="18">
        <v>-141749.26</v>
      </c>
      <c r="I669" s="19">
        <f>SUM(F669:H669)</f>
        <v>-166619.58000000002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14524.06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14524.06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H28" sqref="H2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Dunbarton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839306.25</v>
      </c>
      <c r="C9" s="229">
        <f>'DOE25'!G197+'DOE25'!G215+'DOE25'!G233+'DOE25'!G276+'DOE25'!G295+'DOE25'!G314</f>
        <v>303210.58999999997</v>
      </c>
    </row>
    <row r="10" spans="1:3" x14ac:dyDescent="0.2">
      <c r="A10" t="s">
        <v>779</v>
      </c>
      <c r="B10" s="240">
        <f>732877.46</f>
        <v>732877.46</v>
      </c>
      <c r="C10" s="240">
        <v>267761.75</v>
      </c>
    </row>
    <row r="11" spans="1:3" x14ac:dyDescent="0.2">
      <c r="A11" t="s">
        <v>780</v>
      </c>
      <c r="B11" s="240">
        <f>39369+8731+1008.5+9200</f>
        <v>58308.5</v>
      </c>
      <c r="C11" s="240">
        <v>31767.64</v>
      </c>
    </row>
    <row r="12" spans="1:3" x14ac:dyDescent="0.2">
      <c r="A12" t="s">
        <v>781</v>
      </c>
      <c r="B12" s="240">
        <v>48120.29</v>
      </c>
      <c r="C12" s="240">
        <v>3681.2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839306.25</v>
      </c>
      <c r="C13" s="231">
        <f>SUM(C10:C12)</f>
        <v>303210.59000000003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303091.58</v>
      </c>
      <c r="C18" s="229">
        <f>'DOE25'!G198+'DOE25'!G216+'DOE25'!G234+'DOE25'!G277+'DOE25'!G296+'DOE25'!G315</f>
        <v>100973.43</v>
      </c>
    </row>
    <row r="19" spans="1:3" x14ac:dyDescent="0.2">
      <c r="A19" t="s">
        <v>779</v>
      </c>
      <c r="B19" s="240">
        <f>50605.77+37320</f>
        <v>87925.76999999999</v>
      </c>
      <c r="C19" s="240">
        <f>7019.38+381+2855+5285+29282.29</f>
        <v>44822.67</v>
      </c>
    </row>
    <row r="20" spans="1:3" x14ac:dyDescent="0.2">
      <c r="A20" t="s">
        <v>780</v>
      </c>
      <c r="B20" s="240">
        <f>127500.26+12855.3+4770.25</f>
        <v>145125.81</v>
      </c>
      <c r="C20" s="240">
        <f>1348.35+31578.52</f>
        <v>32926.870000000003</v>
      </c>
    </row>
    <row r="21" spans="1:3" x14ac:dyDescent="0.2">
      <c r="A21" t="s">
        <v>781</v>
      </c>
      <c r="B21" s="240">
        <f>70040</f>
        <v>70040</v>
      </c>
      <c r="C21" s="240">
        <v>23223.89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303091.57999999996</v>
      </c>
      <c r="C22" s="231">
        <f>SUM(C19:C21)</f>
        <v>100973.43000000001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1000</v>
      </c>
      <c r="C36" s="235">
        <f>'DOE25'!G200+'DOE25'!G218+'DOE25'!G236+'DOE25'!G279+'DOE25'!G298+'DOE25'!G317</f>
        <v>223.28</v>
      </c>
    </row>
    <row r="37" spans="1:3" x14ac:dyDescent="0.2">
      <c r="A37" t="s">
        <v>779</v>
      </c>
      <c r="B37" s="240">
        <v>1000</v>
      </c>
      <c r="C37" s="240">
        <v>223.28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1000</v>
      </c>
      <c r="C40" s="231">
        <f>SUM(C37:C39)</f>
        <v>223.28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1" activePane="bottomLeft" state="frozen"/>
      <selection activeCell="F46" sqref="F46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Dunbarton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3946534.4000000004</v>
      </c>
      <c r="D5" s="20">
        <f>SUM('DOE25'!L197:L200)+SUM('DOE25'!L215:L218)+SUM('DOE25'!L233:L236)-F5-G5</f>
        <v>3932542.2200000007</v>
      </c>
      <c r="E5" s="243"/>
      <c r="F5" s="255">
        <f>SUM('DOE25'!J197:J200)+SUM('DOE25'!J215:J218)+SUM('DOE25'!J233:J236)</f>
        <v>1948.88</v>
      </c>
      <c r="G5" s="53">
        <f>SUM('DOE25'!K197:K200)+SUM('DOE25'!K215:K218)+SUM('DOE25'!K233:K236)</f>
        <v>12043.3</v>
      </c>
      <c r="H5" s="259"/>
    </row>
    <row r="6" spans="1:9" x14ac:dyDescent="0.2">
      <c r="A6" s="32">
        <v>2100</v>
      </c>
      <c r="B6" t="s">
        <v>801</v>
      </c>
      <c r="C6" s="245">
        <f t="shared" si="0"/>
        <v>300096.02</v>
      </c>
      <c r="D6" s="20">
        <f>'DOE25'!L202+'DOE25'!L220+'DOE25'!L238-F6-G6</f>
        <v>300096.02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145172.1</v>
      </c>
      <c r="D7" s="20">
        <f>'DOE25'!L203+'DOE25'!L221+'DOE25'!L239-F7-G7</f>
        <v>108999.27</v>
      </c>
      <c r="E7" s="243"/>
      <c r="F7" s="255">
        <f>'DOE25'!J203+'DOE25'!J221+'DOE25'!J239</f>
        <v>36102.83</v>
      </c>
      <c r="G7" s="53">
        <f>'DOE25'!K203+'DOE25'!K221+'DOE25'!K239</f>
        <v>70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103803.68000000001</v>
      </c>
      <c r="D8" s="243"/>
      <c r="E8" s="20">
        <f>'DOE25'!L204+'DOE25'!L222+'DOE25'!L240-F8-G8-D9-D11</f>
        <v>100687.28000000001</v>
      </c>
      <c r="F8" s="255">
        <f>'DOE25'!J204+'DOE25'!J222+'DOE25'!J240</f>
        <v>0</v>
      </c>
      <c r="G8" s="53">
        <f>'DOE25'!K204+'DOE25'!K222+'DOE25'!K240</f>
        <v>3116.4</v>
      </c>
      <c r="H8" s="259"/>
    </row>
    <row r="9" spans="1:9" x14ac:dyDescent="0.2">
      <c r="A9" s="32">
        <v>2310</v>
      </c>
      <c r="B9" t="s">
        <v>818</v>
      </c>
      <c r="C9" s="245">
        <f t="shared" si="0"/>
        <v>8031.76</v>
      </c>
      <c r="D9" s="244">
        <v>8031.76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3676</v>
      </c>
      <c r="D10" s="243"/>
      <c r="E10" s="244">
        <v>3676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52843.08</v>
      </c>
      <c r="D11" s="244">
        <v>52843.08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192956.56000000003</v>
      </c>
      <c r="D12" s="20">
        <f>'DOE25'!L205+'DOE25'!L223+'DOE25'!L241-F12-G12</f>
        <v>192441.56000000003</v>
      </c>
      <c r="E12" s="243"/>
      <c r="F12" s="255">
        <f>'DOE25'!J205+'DOE25'!J223+'DOE25'!J241</f>
        <v>0</v>
      </c>
      <c r="G12" s="53">
        <f>'DOE25'!K205+'DOE25'!K223+'DOE25'!K241</f>
        <v>515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257201.36</v>
      </c>
      <c r="D14" s="20">
        <f>'DOE25'!L207+'DOE25'!L225+'DOE25'!L243-F14-G14</f>
        <v>257201.36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373105.70000000007</v>
      </c>
      <c r="D15" s="20">
        <f>'DOE25'!L208+'DOE25'!L226+'DOE25'!L244-F15-G15</f>
        <v>373105.70000000007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5000</v>
      </c>
      <c r="D22" s="243"/>
      <c r="E22" s="243"/>
      <c r="F22" s="255">
        <f>'DOE25'!L255+'DOE25'!L336</f>
        <v>5000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76982.5</v>
      </c>
      <c r="D25" s="243"/>
      <c r="E25" s="243"/>
      <c r="F25" s="258"/>
      <c r="G25" s="256"/>
      <c r="H25" s="257">
        <f>'DOE25'!L260+'DOE25'!L261+'DOE25'!L341+'DOE25'!L342</f>
        <v>76982.5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34366.42</v>
      </c>
      <c r="D29" s="20">
        <f>'DOE25'!L358+'DOE25'!L359+'DOE25'!L360-'DOE25'!I367-F29-G29</f>
        <v>34149.879999999997</v>
      </c>
      <c r="E29" s="243"/>
      <c r="F29" s="255">
        <f>'DOE25'!J358+'DOE25'!J359+'DOE25'!J360</f>
        <v>216.54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119568.96000000001</v>
      </c>
      <c r="D31" s="20">
        <f>'DOE25'!L290+'DOE25'!L309+'DOE25'!L328+'DOE25'!L333+'DOE25'!L334+'DOE25'!L335-F31-G31</f>
        <v>117991.39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1577.57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5377402.2399999993</v>
      </c>
      <c r="E33" s="246">
        <f>SUM(E5:E31)</f>
        <v>104363.28000000001</v>
      </c>
      <c r="F33" s="246">
        <f>SUM(F5:F31)</f>
        <v>43268.25</v>
      </c>
      <c r="G33" s="246">
        <f>SUM(G5:G31)</f>
        <v>17322.27</v>
      </c>
      <c r="H33" s="246">
        <f>SUM(H5:H31)</f>
        <v>76982.5</v>
      </c>
    </row>
    <row r="35" spans="2:8" ht="12" thickBot="1" x14ac:dyDescent="0.25">
      <c r="B35" s="253" t="s">
        <v>847</v>
      </c>
      <c r="D35" s="254">
        <f>E33</f>
        <v>104363.28000000001</v>
      </c>
      <c r="E35" s="249"/>
    </row>
    <row r="36" spans="2:8" ht="12" thickTop="1" x14ac:dyDescent="0.2">
      <c r="B36" t="s">
        <v>815</v>
      </c>
      <c r="D36" s="20">
        <f>D33</f>
        <v>5377402.2399999993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141" sqref="C14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Dunbarton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1313884.05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200630.69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1805.76</v>
      </c>
      <c r="D13" s="95">
        <f>'DOE25'!G14</f>
        <v>2854.28</v>
      </c>
      <c r="E13" s="95">
        <f>'DOE25'!H14</f>
        <v>26559.53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450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1316139.81</v>
      </c>
      <c r="D18" s="41">
        <f>SUM(D8:D17)</f>
        <v>2854.28</v>
      </c>
      <c r="E18" s="41">
        <f>SUM(E8:E17)</f>
        <v>26559.53</v>
      </c>
      <c r="F18" s="41">
        <f>SUM(F8:F17)</f>
        <v>0</v>
      </c>
      <c r="G18" s="41">
        <f>SUM(G8:G17)</f>
        <v>200630.69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933435.81</v>
      </c>
      <c r="D21" s="95">
        <f>'DOE25'!G22</f>
        <v>1390.8300000000002</v>
      </c>
      <c r="E21" s="95">
        <f>'DOE25'!H22</f>
        <v>25392.63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75757.17</v>
      </c>
      <c r="D23" s="95">
        <f>'DOE25'!G24</f>
        <v>0</v>
      </c>
      <c r="E23" s="95">
        <f>'DOE25'!H24</f>
        <v>1166.9000000000001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27177.33</v>
      </c>
      <c r="D24" s="95">
        <f>'DOE25'!G25</f>
        <v>1463.45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2028.54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1038398.8500000001</v>
      </c>
      <c r="D31" s="41">
        <f>SUM(D21:D30)</f>
        <v>2854.28</v>
      </c>
      <c r="E31" s="41">
        <f>SUM(E21:E30)</f>
        <v>26559.530000000002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200630.69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276740.95999999996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277740.95999999996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200630.69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1316139.81</v>
      </c>
      <c r="D51" s="41">
        <f>D50+D31</f>
        <v>2854.28</v>
      </c>
      <c r="E51" s="41">
        <f>E50+E31</f>
        <v>26559.530000000002</v>
      </c>
      <c r="F51" s="41">
        <f>F50+F31</f>
        <v>0</v>
      </c>
      <c r="G51" s="41">
        <f>G50+G31</f>
        <v>200630.69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3872435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139.53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37.68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31579.25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55399.29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55538.82</v>
      </c>
      <c r="D62" s="130">
        <f>SUM(D57:D61)</f>
        <v>31579.25</v>
      </c>
      <c r="E62" s="130">
        <f>SUM(E57:E61)</f>
        <v>0</v>
      </c>
      <c r="F62" s="130">
        <f>SUM(F57:F61)</f>
        <v>0</v>
      </c>
      <c r="G62" s="130">
        <f>SUM(G57:G61)</f>
        <v>37.68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3927973.82</v>
      </c>
      <c r="D63" s="22">
        <f>D56+D62</f>
        <v>31579.25</v>
      </c>
      <c r="E63" s="22">
        <f>E56+E62</f>
        <v>0</v>
      </c>
      <c r="F63" s="22">
        <f>F56+F62</f>
        <v>0</v>
      </c>
      <c r="G63" s="22">
        <f>G56+G62</f>
        <v>37.68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630312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639901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1270213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16672.04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5295.73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2375.1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21967.77</v>
      </c>
      <c r="D78" s="130">
        <f>SUM(D72:D77)</f>
        <v>2375.1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1292180.77</v>
      </c>
      <c r="D81" s="130">
        <f>SUM(D79:D80)+D78+D70</f>
        <v>2375.1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43348.3</v>
      </c>
      <c r="D88" s="95">
        <f>SUM('DOE25'!G153:G161)</f>
        <v>10649.06</v>
      </c>
      <c r="E88" s="95">
        <f>SUM('DOE25'!H153:H161)</f>
        <v>119568.95999999999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43348.3</v>
      </c>
      <c r="D91" s="131">
        <f>SUM(D85:D90)</f>
        <v>10649.06</v>
      </c>
      <c r="E91" s="131">
        <f>SUM(E85:E90)</f>
        <v>119568.95999999999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17506.77</v>
      </c>
      <c r="E96" s="95">
        <f>'DOE25'!H179</f>
        <v>0</v>
      </c>
      <c r="F96" s="95">
        <f>'DOE25'!I179</f>
        <v>0</v>
      </c>
      <c r="G96" s="95">
        <f>'DOE25'!J179</f>
        <v>32570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17506.77</v>
      </c>
      <c r="E103" s="86">
        <f>SUM(E93:E102)</f>
        <v>0</v>
      </c>
      <c r="F103" s="86">
        <f>SUM(F93:F102)</f>
        <v>0</v>
      </c>
      <c r="G103" s="86">
        <f>SUM(G93:G102)</f>
        <v>32570</v>
      </c>
    </row>
    <row r="104" spans="1:7" ht="12.75" thickTop="1" thickBot="1" x14ac:dyDescent="0.25">
      <c r="A104" s="33" t="s">
        <v>765</v>
      </c>
      <c r="C104" s="86">
        <f>C63+C81+C91+C103</f>
        <v>5263502.8899999997</v>
      </c>
      <c r="D104" s="86">
        <f>D63+D81+D91+D103</f>
        <v>62110.179999999993</v>
      </c>
      <c r="E104" s="86">
        <f>E63+E81+E91+E103</f>
        <v>119568.95999999999</v>
      </c>
      <c r="F104" s="86">
        <f>F63+F81+F91+F103</f>
        <v>0</v>
      </c>
      <c r="G104" s="86">
        <f>G63+G81+G103</f>
        <v>32607.68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3285444.75</v>
      </c>
      <c r="D109" s="24" t="s">
        <v>289</v>
      </c>
      <c r="E109" s="95">
        <f>('DOE25'!L276)+('DOE25'!L295)+('DOE25'!L314)</f>
        <v>36721.040000000001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638446.67000000004</v>
      </c>
      <c r="D110" s="24" t="s">
        <v>289</v>
      </c>
      <c r="E110" s="95">
        <f>('DOE25'!L277)+('DOE25'!L296)+('DOE25'!L315)</f>
        <v>81109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22642.98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3946534.4</v>
      </c>
      <c r="D115" s="86">
        <f>SUM(D109:D114)</f>
        <v>0</v>
      </c>
      <c r="E115" s="86">
        <f>SUM(E109:E114)</f>
        <v>117830.04000000001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300096.02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145172.1</v>
      </c>
      <c r="D119" s="24" t="s">
        <v>289</v>
      </c>
      <c r="E119" s="95">
        <f>+('DOE25'!L282)+('DOE25'!L301)+('DOE25'!L320)</f>
        <v>1738.92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164678.52000000002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192956.56000000003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257201.36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373105.70000000007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62110.18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1433210.2600000002</v>
      </c>
      <c r="D128" s="86">
        <f>SUM(D118:D127)</f>
        <v>62110.18</v>
      </c>
      <c r="E128" s="86">
        <f>SUM(E118:E127)</f>
        <v>1738.92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5000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6982.5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17506.77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32607.68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-37.680000000000291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132059.27000000002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5511803.9299999997</v>
      </c>
      <c r="D145" s="86">
        <f>(D115+D128+D144)</f>
        <v>62110.18</v>
      </c>
      <c r="E145" s="86">
        <f>(E115+E128+E144)</f>
        <v>119568.96000000001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12/06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01/17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487000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4.75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182000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182000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70000</v>
      </c>
    </row>
    <row r="159" spans="1:9" x14ac:dyDescent="0.2">
      <c r="A159" s="22" t="s">
        <v>35</v>
      </c>
      <c r="B159" s="137">
        <f>'DOE25'!F498</f>
        <v>112000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112000</v>
      </c>
    </row>
    <row r="160" spans="1:9" x14ac:dyDescent="0.2">
      <c r="A160" s="22" t="s">
        <v>36</v>
      </c>
      <c r="B160" s="137">
        <f>'DOE25'!F499</f>
        <v>4417.5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4417.5</v>
      </c>
    </row>
    <row r="161" spans="1:7" x14ac:dyDescent="0.2">
      <c r="A161" s="22" t="s">
        <v>37</v>
      </c>
      <c r="B161" s="137">
        <f>'DOE25'!F500</f>
        <v>116417.5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116417.5</v>
      </c>
    </row>
    <row r="162" spans="1:7" x14ac:dyDescent="0.2">
      <c r="A162" s="22" t="s">
        <v>38</v>
      </c>
      <c r="B162" s="137">
        <f>'DOE25'!F501</f>
        <v>75000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75000</v>
      </c>
    </row>
    <row r="163" spans="1:7" x14ac:dyDescent="0.2">
      <c r="A163" s="22" t="s">
        <v>39</v>
      </c>
      <c r="B163" s="137">
        <f>'DOE25'!F502</f>
        <v>3538.75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3538.75</v>
      </c>
    </row>
    <row r="164" spans="1:7" x14ac:dyDescent="0.2">
      <c r="A164" s="22" t="s">
        <v>246</v>
      </c>
      <c r="B164" s="137">
        <f>'DOE25'!F503</f>
        <v>78538.75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78538.75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Dunbarton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14524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14524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3322166</v>
      </c>
      <c r="D10" s="182">
        <f>ROUND((C10/$C$28)*100,1)</f>
        <v>60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719556</v>
      </c>
      <c r="D11" s="182">
        <f>ROUND((C11/$C$28)*100,1)</f>
        <v>13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22643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300096</v>
      </c>
      <c r="D15" s="182">
        <f t="shared" ref="D15:D27" si="0">ROUND((C15/$C$28)*100,1)</f>
        <v>5.4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146911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164679</v>
      </c>
      <c r="D17" s="182">
        <f t="shared" si="0"/>
        <v>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192957</v>
      </c>
      <c r="D18" s="182">
        <f t="shared" si="0"/>
        <v>3.5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257201</v>
      </c>
      <c r="D20" s="182">
        <f t="shared" si="0"/>
        <v>4.5999999999999996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373106</v>
      </c>
      <c r="D21" s="182">
        <f t="shared" si="0"/>
        <v>6.7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6983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30530.75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5536828.75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5000</v>
      </c>
    </row>
    <row r="30" spans="1:4" x14ac:dyDescent="0.2">
      <c r="B30" s="187" t="s">
        <v>729</v>
      </c>
      <c r="C30" s="180">
        <f>SUM(C28:C29)</f>
        <v>5541828.75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3872435</v>
      </c>
      <c r="D35" s="182">
        <f t="shared" ref="D35:D40" si="1">ROUND((C35/$C$41)*100,1)</f>
        <v>71.8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55576.5</v>
      </c>
      <c r="D36" s="182">
        <f t="shared" si="1"/>
        <v>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1270213</v>
      </c>
      <c r="D37" s="182">
        <f t="shared" si="1"/>
        <v>23.5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24343</v>
      </c>
      <c r="D38" s="182">
        <f t="shared" si="1"/>
        <v>0.5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173566</v>
      </c>
      <c r="D39" s="182">
        <f t="shared" si="1"/>
        <v>3.2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5396133.5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Dunbarton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2015-09-22T17:00:08Z</cp:lastPrinted>
  <dcterms:created xsi:type="dcterms:W3CDTF">1997-12-04T19:04:30Z</dcterms:created>
  <dcterms:modified xsi:type="dcterms:W3CDTF">2015-12-18T14:24:08Z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