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C13" i="10" s="1"/>
  <c r="L215" i="1"/>
  <c r="L216" i="1"/>
  <c r="L217" i="1"/>
  <c r="L218" i="1"/>
  <c r="L233" i="1"/>
  <c r="L234" i="1"/>
  <c r="L235" i="1"/>
  <c r="L236" i="1"/>
  <c r="F6" i="13"/>
  <c r="G6" i="13"/>
  <c r="L202" i="1"/>
  <c r="C15" i="10" s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C20" i="10" s="1"/>
  <c r="L225" i="1"/>
  <c r="L243" i="1"/>
  <c r="F15" i="13"/>
  <c r="G15" i="13"/>
  <c r="L208" i="1"/>
  <c r="F662" i="1" s="1"/>
  <c r="I662" i="1" s="1"/>
  <c r="L226" i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F661" i="1" s="1"/>
  <c r="L359" i="1"/>
  <c r="L360" i="1"/>
  <c r="I367" i="1"/>
  <c r="J290" i="1"/>
  <c r="J309" i="1"/>
  <c r="J328" i="1"/>
  <c r="K290" i="1"/>
  <c r="K309" i="1"/>
  <c r="K328" i="1"/>
  <c r="L276" i="1"/>
  <c r="L277" i="1"/>
  <c r="L278" i="1"/>
  <c r="L279" i="1"/>
  <c r="L281" i="1"/>
  <c r="L282" i="1"/>
  <c r="L283" i="1"/>
  <c r="L284" i="1"/>
  <c r="L285" i="1"/>
  <c r="C19" i="10" s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L336" i="1"/>
  <c r="C11" i="13"/>
  <c r="C10" i="13"/>
  <c r="C9" i="13"/>
  <c r="L361" i="1"/>
  <c r="L362" i="1" s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93" i="1" s="1"/>
  <c r="C138" i="2" s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I147" i="1"/>
  <c r="I162" i="1"/>
  <c r="C10" i="10"/>
  <c r="C11" i="10"/>
  <c r="C12" i="10"/>
  <c r="C16" i="10"/>
  <c r="C17" i="10"/>
  <c r="C18" i="10"/>
  <c r="C21" i="10"/>
  <c r="L250" i="1"/>
  <c r="L332" i="1"/>
  <c r="L254" i="1"/>
  <c r="C25" i="10"/>
  <c r="L268" i="1"/>
  <c r="L269" i="1"/>
  <c r="L349" i="1"/>
  <c r="L350" i="1"/>
  <c r="I665" i="1"/>
  <c r="I670" i="1"/>
  <c r="L229" i="1"/>
  <c r="L247" i="1"/>
  <c r="G661" i="1"/>
  <c r="H661" i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D81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E109" i="2"/>
  <c r="E115" i="2" s="1"/>
  <c r="C110" i="2"/>
  <c r="E110" i="2"/>
  <c r="C111" i="2"/>
  <c r="E111" i="2"/>
  <c r="C112" i="2"/>
  <c r="E112" i="2"/>
  <c r="C113" i="2"/>
  <c r="E113" i="2"/>
  <c r="C114" i="2"/>
  <c r="E114" i="2"/>
  <c r="D115" i="2"/>
  <c r="F115" i="2"/>
  <c r="G115" i="2"/>
  <c r="C118" i="2"/>
  <c r="E118" i="2"/>
  <c r="C119" i="2"/>
  <c r="E119" i="2"/>
  <c r="C120" i="2"/>
  <c r="E120" i="2"/>
  <c r="C121" i="2"/>
  <c r="E121" i="2"/>
  <c r="C122" i="2"/>
  <c r="C123" i="2"/>
  <c r="E123" i="2"/>
  <c r="C124" i="2"/>
  <c r="E124" i="2"/>
  <c r="C125" i="2"/>
  <c r="E125" i="2"/>
  <c r="D127" i="2"/>
  <c r="D128" i="2" s="1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19" i="1"/>
  <c r="H19" i="1"/>
  <c r="I19" i="1"/>
  <c r="F32" i="1"/>
  <c r="F52" i="1" s="1"/>
  <c r="H617" i="1" s="1"/>
  <c r="G32" i="1"/>
  <c r="G52" i="1" s="1"/>
  <c r="H618" i="1" s="1"/>
  <c r="H32" i="1"/>
  <c r="I32" i="1"/>
  <c r="H51" i="1"/>
  <c r="H52" i="1" s="1"/>
  <c r="H619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F257" i="1" s="1"/>
  <c r="F271" i="1" s="1"/>
  <c r="G211" i="1"/>
  <c r="G257" i="1" s="1"/>
  <c r="G271" i="1" s="1"/>
  <c r="H211" i="1"/>
  <c r="H257" i="1" s="1"/>
  <c r="H271" i="1" s="1"/>
  <c r="I211" i="1"/>
  <c r="I257" i="1" s="1"/>
  <c r="I271" i="1" s="1"/>
  <c r="J211" i="1"/>
  <c r="J257" i="1" s="1"/>
  <c r="J271" i="1" s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L270" i="1"/>
  <c r="F290" i="1"/>
  <c r="G290" i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K352" i="1" s="1"/>
  <c r="F362" i="1"/>
  <c r="G362" i="1"/>
  <c r="H362" i="1"/>
  <c r="I362" i="1"/>
  <c r="J362" i="1"/>
  <c r="K362" i="1"/>
  <c r="I368" i="1"/>
  <c r="F369" i="1"/>
  <c r="G369" i="1"/>
  <c r="H369" i="1"/>
  <c r="I369" i="1"/>
  <c r="H634" i="1" s="1"/>
  <c r="J634" i="1" s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H644" i="1" s="1"/>
  <c r="J644" i="1" s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I446" i="1"/>
  <c r="G642" i="1" s="1"/>
  <c r="F452" i="1"/>
  <c r="G452" i="1"/>
  <c r="H452" i="1"/>
  <c r="I452" i="1"/>
  <c r="F460" i="1"/>
  <c r="G460" i="1"/>
  <c r="H460" i="1"/>
  <c r="I460" i="1"/>
  <c r="I461" i="1" s="1"/>
  <c r="H642" i="1" s="1"/>
  <c r="F461" i="1"/>
  <c r="G461" i="1"/>
  <c r="H461" i="1"/>
  <c r="F470" i="1"/>
  <c r="G470" i="1"/>
  <c r="H470" i="1"/>
  <c r="I470" i="1"/>
  <c r="I476" i="1" s="1"/>
  <c r="H625" i="1" s="1"/>
  <c r="J625" i="1" s="1"/>
  <c r="J470" i="1"/>
  <c r="J476" i="1" s="1"/>
  <c r="H626" i="1" s="1"/>
  <c r="F474" i="1"/>
  <c r="G474" i="1"/>
  <c r="H474" i="1"/>
  <c r="I474" i="1"/>
  <c r="J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H524" i="1"/>
  <c r="I524" i="1"/>
  <c r="J524" i="1"/>
  <c r="K524" i="1"/>
  <c r="L524" i="1"/>
  <c r="F529" i="1"/>
  <c r="G529" i="1"/>
  <c r="H529" i="1"/>
  <c r="I529" i="1"/>
  <c r="I545" i="1" s="1"/>
  <c r="J529" i="1"/>
  <c r="K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8" i="1" s="1"/>
  <c r="G647" i="1" s="1"/>
  <c r="J647" i="1" s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K605" i="1" s="1"/>
  <c r="G648" i="1" s="1"/>
  <c r="H605" i="1"/>
  <c r="I605" i="1"/>
  <c r="J605" i="1"/>
  <c r="F614" i="1"/>
  <c r="G614" i="1"/>
  <c r="H614" i="1"/>
  <c r="I614" i="1"/>
  <c r="J614" i="1"/>
  <c r="K614" i="1"/>
  <c r="L614" i="1"/>
  <c r="G617" i="1"/>
  <c r="G618" i="1"/>
  <c r="G619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G634" i="1"/>
  <c r="H635" i="1"/>
  <c r="H636" i="1"/>
  <c r="J636" i="1" s="1"/>
  <c r="H637" i="1"/>
  <c r="H638" i="1"/>
  <c r="G639" i="1"/>
  <c r="H639" i="1"/>
  <c r="G640" i="1"/>
  <c r="H640" i="1"/>
  <c r="G641" i="1"/>
  <c r="H641" i="1"/>
  <c r="G643" i="1"/>
  <c r="H643" i="1"/>
  <c r="G644" i="1"/>
  <c r="G645" i="1"/>
  <c r="H645" i="1"/>
  <c r="H647" i="1"/>
  <c r="G649" i="1"/>
  <c r="G650" i="1"/>
  <c r="G651" i="1"/>
  <c r="G652" i="1"/>
  <c r="H652" i="1"/>
  <c r="G653" i="1"/>
  <c r="H653" i="1"/>
  <c r="G654" i="1"/>
  <c r="H654" i="1"/>
  <c r="H655" i="1"/>
  <c r="F192" i="1"/>
  <c r="L256" i="1"/>
  <c r="K257" i="1"/>
  <c r="K271" i="1" s="1"/>
  <c r="G164" i="2"/>
  <c r="C26" i="10"/>
  <c r="L328" i="1"/>
  <c r="H660" i="1" s="1"/>
  <c r="H664" i="1" s="1"/>
  <c r="L351" i="1"/>
  <c r="L290" i="1"/>
  <c r="A31" i="12"/>
  <c r="C70" i="2"/>
  <c r="A40" i="12"/>
  <c r="D12" i="13"/>
  <c r="C12" i="13" s="1"/>
  <c r="D62" i="2"/>
  <c r="D63" i="2" s="1"/>
  <c r="D18" i="13"/>
  <c r="C18" i="13" s="1"/>
  <c r="D15" i="13"/>
  <c r="C15" i="13" s="1"/>
  <c r="D7" i="13"/>
  <c r="C7" i="13" s="1"/>
  <c r="D18" i="2"/>
  <c r="D17" i="13"/>
  <c r="C17" i="13" s="1"/>
  <c r="D6" i="13"/>
  <c r="C6" i="13" s="1"/>
  <c r="E8" i="13"/>
  <c r="C8" i="13" s="1"/>
  <c r="C91" i="2"/>
  <c r="F78" i="2"/>
  <c r="F81" i="2" s="1"/>
  <c r="D31" i="2"/>
  <c r="C78" i="2"/>
  <c r="D50" i="2"/>
  <c r="G157" i="2"/>
  <c r="F18" i="2"/>
  <c r="G161" i="2"/>
  <c r="G156" i="2"/>
  <c r="E103" i="2"/>
  <c r="D91" i="2"/>
  <c r="E62" i="2"/>
  <c r="E63" i="2" s="1"/>
  <c r="E31" i="2"/>
  <c r="G62" i="2"/>
  <c r="D29" i="13"/>
  <c r="C29" i="13" s="1"/>
  <c r="D19" i="13"/>
  <c r="C19" i="13" s="1"/>
  <c r="D14" i="13"/>
  <c r="C14" i="13" s="1"/>
  <c r="E13" i="13"/>
  <c r="C13" i="13" s="1"/>
  <c r="E78" i="2"/>
  <c r="E81" i="2" s="1"/>
  <c r="L427" i="1"/>
  <c r="H112" i="1"/>
  <c r="F112" i="1"/>
  <c r="J641" i="1"/>
  <c r="J571" i="1"/>
  <c r="K571" i="1"/>
  <c r="L433" i="1"/>
  <c r="L419" i="1"/>
  <c r="I169" i="1"/>
  <c r="H169" i="1"/>
  <c r="G552" i="1"/>
  <c r="J643" i="1"/>
  <c r="H476" i="1"/>
  <c r="H624" i="1" s="1"/>
  <c r="F476" i="1"/>
  <c r="H622" i="1" s="1"/>
  <c r="G338" i="1"/>
  <c r="G352" i="1" s="1"/>
  <c r="F169" i="1"/>
  <c r="J140" i="1"/>
  <c r="F571" i="1"/>
  <c r="I552" i="1"/>
  <c r="K550" i="1"/>
  <c r="G22" i="2"/>
  <c r="K545" i="1"/>
  <c r="J552" i="1"/>
  <c r="H552" i="1"/>
  <c r="C29" i="10"/>
  <c r="H140" i="1"/>
  <c r="L401" i="1"/>
  <c r="C139" i="2" s="1"/>
  <c r="A13" i="12"/>
  <c r="F22" i="13"/>
  <c r="H25" i="13"/>
  <c r="C25" i="13" s="1"/>
  <c r="J651" i="1"/>
  <c r="J640" i="1"/>
  <c r="H571" i="1"/>
  <c r="L560" i="1"/>
  <c r="J545" i="1"/>
  <c r="F338" i="1"/>
  <c r="F352" i="1" s="1"/>
  <c r="G192" i="1"/>
  <c r="H192" i="1"/>
  <c r="F552" i="1"/>
  <c r="C35" i="10"/>
  <c r="L309" i="1"/>
  <c r="D5" i="13"/>
  <c r="C5" i="13" s="1"/>
  <c r="E16" i="13"/>
  <c r="J655" i="1"/>
  <c r="J645" i="1"/>
  <c r="L570" i="1"/>
  <c r="I571" i="1"/>
  <c r="G36" i="2"/>
  <c r="L565" i="1"/>
  <c r="H545" i="1"/>
  <c r="K551" i="1"/>
  <c r="C22" i="13"/>
  <c r="C16" i="13"/>
  <c r="H33" i="13"/>
  <c r="J622" i="1" l="1"/>
  <c r="L544" i="1"/>
  <c r="K549" i="1"/>
  <c r="K552" i="1" s="1"/>
  <c r="G545" i="1"/>
  <c r="L529" i="1"/>
  <c r="J649" i="1"/>
  <c r="G476" i="1"/>
  <c r="H623" i="1" s="1"/>
  <c r="J623" i="1" s="1"/>
  <c r="E122" i="2"/>
  <c r="E128" i="2" s="1"/>
  <c r="J639" i="1"/>
  <c r="J624" i="1"/>
  <c r="J617" i="1"/>
  <c r="C18" i="2"/>
  <c r="C81" i="2"/>
  <c r="E33" i="13"/>
  <c r="D35" i="13" s="1"/>
  <c r="I661" i="1"/>
  <c r="D145" i="2"/>
  <c r="C115" i="2"/>
  <c r="L211" i="1"/>
  <c r="F660" i="1" s="1"/>
  <c r="F664" i="1" s="1"/>
  <c r="C62" i="2"/>
  <c r="C63" i="2" s="1"/>
  <c r="C104" i="2" s="1"/>
  <c r="C128" i="2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E145" i="2"/>
  <c r="L338" i="1"/>
  <c r="L352" i="1" s="1"/>
  <c r="G633" i="1" s="1"/>
  <c r="J633" i="1" s="1"/>
  <c r="C24" i="10"/>
  <c r="G660" i="1"/>
  <c r="G664" i="1" s="1"/>
  <c r="G667" i="1" s="1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H667" i="1"/>
  <c r="H672" i="1"/>
  <c r="C6" i="10" s="1"/>
  <c r="F31" i="13"/>
  <c r="J193" i="1"/>
  <c r="G646" i="1" s="1"/>
  <c r="F104" i="2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G104" i="2" s="1"/>
  <c r="J618" i="1"/>
  <c r="G42" i="2"/>
  <c r="J51" i="1"/>
  <c r="G16" i="2"/>
  <c r="J19" i="1"/>
  <c r="G621" i="1" s="1"/>
  <c r="F33" i="13"/>
  <c r="D31" i="13"/>
  <c r="C31" i="13" s="1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G50" i="2"/>
  <c r="G51" i="2" s="1"/>
  <c r="H648" i="1"/>
  <c r="J648" i="1" s="1"/>
  <c r="J652" i="1"/>
  <c r="J642" i="1"/>
  <c r="G571" i="1"/>
  <c r="I434" i="1"/>
  <c r="G434" i="1"/>
  <c r="E104" i="2"/>
  <c r="I663" i="1"/>
  <c r="C27" i="10"/>
  <c r="C28" i="10" s="1"/>
  <c r="G635" i="1"/>
  <c r="J635" i="1" s="1"/>
  <c r="L545" i="1" l="1"/>
  <c r="H646" i="1"/>
  <c r="G672" i="1"/>
  <c r="C5" i="10" s="1"/>
  <c r="C145" i="2"/>
  <c r="L257" i="1"/>
  <c r="L271" i="1" s="1"/>
  <c r="G632" i="1" s="1"/>
  <c r="J632" i="1" s="1"/>
  <c r="I660" i="1"/>
  <c r="I664" i="1" s="1"/>
  <c r="I672" i="1" s="1"/>
  <c r="C7" i="10" s="1"/>
  <c r="F672" i="1"/>
  <c r="C4" i="10" s="1"/>
  <c r="F667" i="1"/>
  <c r="C51" i="2"/>
  <c r="G631" i="1"/>
  <c r="J631" i="1" s="1"/>
  <c r="D33" i="13"/>
  <c r="D36" i="13" s="1"/>
  <c r="J646" i="1"/>
  <c r="G193" i="1"/>
  <c r="G628" i="1" s="1"/>
  <c r="J628" i="1" s="1"/>
  <c r="G626" i="1"/>
  <c r="J626" i="1" s="1"/>
  <c r="J52" i="1"/>
  <c r="H621" i="1" s="1"/>
  <c r="J621" i="1" s="1"/>
  <c r="C38" i="10"/>
  <c r="D23" i="10"/>
  <c r="D24" i="10"/>
  <c r="D22" i="10"/>
  <c r="D19" i="10"/>
  <c r="D16" i="10"/>
  <c r="D12" i="10"/>
  <c r="D21" i="10"/>
  <c r="D25" i="10"/>
  <c r="C30" i="10"/>
  <c r="D17" i="10"/>
  <c r="D11" i="10"/>
  <c r="D15" i="10"/>
  <c r="D26" i="10"/>
  <c r="D18" i="10"/>
  <c r="D13" i="10"/>
  <c r="D20" i="10"/>
  <c r="D10" i="10"/>
  <c r="D27" i="10"/>
  <c r="I667" i="1" l="1"/>
  <c r="H656" i="1"/>
  <c r="D28" i="10"/>
  <c r="C41" i="10"/>
  <c r="D38" i="10" s="1"/>
  <c r="D37" i="10" l="1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<sst xmlns="http://schemas.openxmlformats.org/spreadsheetml/2006/main" count="3959" uniqueCount="912">
  <si>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</si>
  <si>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</si>
  <si>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</si>
  <si>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</si>
  <si>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</si>
  <si>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</si>
  <si>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</si>
  <si>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</si>
  <si>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</si>
  <si>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</si>
  <si>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</si>
  <si>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</si>
  <si>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</si>
  <si>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</si>
  <si>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</si>
  <si>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</si>
  <si>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</si>
  <si>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</si>
  <si>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</si>
  <si>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</si>
  <si>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</si>
  <si>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</si>
  <si>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</si>
  <si>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</si>
  <si>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</si>
  <si>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</si>
  <si>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</si>
  <si>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</si>
  <si>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</si>
  <si>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</si>
  <si>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</si>
  <si>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</si>
  <si>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</si>
  <si>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</si>
  <si>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</si>
  <si>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</si>
  <si>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</si>
  <si>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</si>
  <si>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</si>
  <si>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</si>
  <si>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</si>
  <si>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</si>
  <si>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</si>
  <si>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</si>
  <si>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</si>
  <si>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</si>
  <si>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</si>
  <si>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</si>
  <si>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</si>
  <si>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</si>
  <si>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</si>
  <si>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</si>
  <si>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</si>
  <si>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</si>
  <si>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</si>
  <si>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</si>
  <si>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</si>
  <si>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</si>
  <si>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</si>
  <si>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</si>
  <si>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</si>
  <si>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</si>
  <si>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</si>
  <si>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</si>
  <si>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</si>
  <si>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</si>
  <si>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</si>
  <si>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</si>
  <si>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</si>
  <si>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</si>
  <si>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</si>
  <si>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</si>
  <si>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</si>
  <si>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</si>
  <si>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</si>
  <si>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</si>
  <si>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</si>
  <si>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</si>
  <si>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</si>
  <si>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</si>
  <si>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</si>
  <si>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</si>
  <si>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</si>
  <si>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</si>
  <si>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</si>
  <si>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</si>
  <si>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</si>
  <si>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</si>
  <si>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</si>
  <si>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</si>
  <si>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</si>
  <si>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</si>
  <si>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</si>
  <si>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</si>
  <si>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</si>
  <si>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</si>
  <si>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</si>
  <si>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</si>
  <si>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</si>
  <si>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</si>
  <si>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</si>
  <si>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</si>
  <si>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</si>
  <si>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</si>
  <si>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</si>
  <si>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</si>
  <si>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</si>
  <si>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</si>
  <si>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</si>
  <si>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</si>
  <si>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</si>
  <si>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</si>
  <si>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</si>
  <si>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</si>
  <si>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</si>
  <si>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</si>
  <si>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</si>
  <si>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</si>
  <si>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</si>
  <si>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</si>
  <si>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</si>
  <si>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</si>
  <si>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</si>
  <si>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</si>
  <si>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</si>
  <si>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</si>
  <si>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</si>
  <si>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</si>
  <si>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</si>
  <si>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</si>
  <si>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</si>
  <si>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</si>
  <si>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</si>
  <si>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</si>
  <si>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</si>
  <si>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</si>
  <si>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</si>
  <si>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</si>
  <si>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</si>
  <si>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</si>
  <si>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</si>
  <si>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</si>
  <si>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</si>
  <si>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</si>
  <si>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</si>
  <si>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</si>
  <si>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</si>
  <si>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</si>
  <si>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</si>
  <si>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</si>
  <si>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</si>
  <si>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</si>
  <si>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</si>
  <si>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</si>
  <si>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</si>
  <si>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</si>
  <si>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</si>
  <si>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</si>
  <si>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</si>
  <si>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</si>
  <si>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</si>
  <si>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</si>
  <si>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</si>
  <si>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</si>
  <si>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</si>
  <si>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</si>
  <si>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</si>
  <si>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</si>
  <si>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</si>
  <si>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</si>
  <si>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</si>
  <si>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</si>
  <si>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</si>
  <si>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</si>
  <si>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</si>
  <si>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</si>
  <si>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</si>
  <si>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</si>
  <si>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</si>
  <si>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</si>
  <si>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</si>
  <si>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</si>
  <si>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</si>
  <si>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</si>
  <si>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</si>
  <si>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</si>
  <si>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</si>
  <si>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</si>
  <si>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</si>
  <si>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</si>
  <si>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</si>
  <si>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</si>
  <si>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</si>
  <si>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</si>
  <si>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</si>
  <si>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</si>
  <si>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</si>
  <si>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</si>
  <si>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</si>
  <si>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</si>
  <si>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</si>
  <si>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</si>
  <si>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</si>
  <si>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</si>
  <si>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</si>
  <si>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</si>
  <si>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</si>
  <si>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</si>
  <si>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</si>
  <si>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</si>
  <si>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</si>
  <si>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</si>
  <si>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</si>
  <si>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</si>
  <si>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</si>
  <si>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</si>
  <si>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</si>
  <si>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</si>
  <si>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</si>
  <si>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</si>
  <si>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</si>
  <si>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</si>
  <si>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</si>
  <si>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</si>
  <si>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</si>
  <si>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</si>
  <si>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</si>
  <si>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</si>
  <si>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</si>
  <si>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</si>
  <si>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</si>
  <si>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</si>
  <si>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</si>
  <si>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</si>
  <si>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</si>
  <si>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</si>
  <si>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</si>
  <si>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</si>
  <si>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</si>
  <si>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</si>
  <si>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</si>
  <si>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</si>
  <si>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</si>
  <si>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</si>
  <si>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</si>
  <si>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</si>
  <si>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</si>
  <si>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</si>
  <si>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</si>
  <si>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</si>
  <si>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</si>
  <si>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</si>
  <si>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</si>
  <si>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</si>
  <si>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</si>
  <si>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</si>
  <si>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</si>
  <si>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</si>
  <si>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</si>
  <si>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</si>
  <si>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</si>
  <si>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</si>
  <si>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</si>
  <si>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</si>
  <si>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</si>
  <si>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</si>
  <si>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</si>
  <si>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</si>
  <si>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</si>
  <si>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</si>
  <si>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</si>
  <si>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</si>
  <si>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</si>
  <si>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</si>
  <si>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</si>
  <si>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</si>
  <si>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</si>
  <si>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</si>
  <si>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</si>
  <si>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</si>
  <si>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</si>
  <si>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</si>
  <si>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</si>
  <si>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</si>
  <si>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</si>
  <si>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</si>
  <si>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</si>
  <si>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</si>
  <si>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</si>
  <si>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</si>
  <si>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</si>
  <si>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</si>
  <si>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</si>
  <si>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</si>
  <si>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</si>
  <si>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</si>
  <si>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</si>
  <si>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</si>
  <si>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</si>
  <si>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</si>
  <si>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</si>
  <si>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</si>
  <si>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</si>
  <si>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</si>
  <si>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</si>
  <si>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</si>
  <si>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</si>
  <si>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</si>
  <si>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</si>
  <si>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</si>
  <si>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</si>
  <si>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</si>
  <si>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</si>
  <si>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</si>
  <si>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</si>
  <si>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</si>
  <si>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</si>
  <si>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</si>
  <si>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</si>
  <si>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</si>
  <si>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</si>
  <si>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</si>
  <si>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</si>
  <si>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</si>
  <si>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</si>
  <si>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</si>
  <si>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</si>
  <si>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</si>
  <si>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</si>
  <si>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</si>
  <si>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</si>
  <si>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</si>
  <si>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</si>
  <si>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</si>
  <si>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</si>
  <si>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</si>
  <si>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</si>
  <si>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</si>
  <si>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</si>
  <si>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</si>
  <si>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</si>
  <si>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</si>
  <si>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</si>
  <si>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</si>
  <si>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</si>
  <si>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</si>
  <si>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</si>
  <si>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</si>
  <si>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</si>
  <si>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</si>
  <si>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</si>
  <si>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</si>
  <si>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</si>
  <si>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</si>
  <si>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</si>
  <si>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</si>
  <si>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</si>
  <si>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</si>
  <si>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</si>
  <si>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</si>
  <si>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</si>
  <si>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</si>
  <si>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</si>
  <si>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</si>
  <si>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</si>
  <si>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</si>
  <si>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</si>
  <si>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</si>
  <si>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</si>
  <si>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</si>
  <si>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</si>
  <si>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</si>
  <si>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</si>
  <si>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</si>
  <si>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</si>
  <si>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</si>
  <si>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</si>
  <si>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</si>
  <si>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</si>
  <si>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</si>
  <si>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</si>
  <si>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</si>
  <si>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</si>
  <si>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</si>
  <si>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</si>
  <si>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</si>
  <si>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</si>
  <si>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</si>
  <si>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</si>
  <si>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</si>
  <si>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</si>
  <si>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</si>
  <si>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</si>
  <si>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</si>
  <si>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</si>
  <si>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</si>
  <si>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</si>
  <si>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</si>
  <si>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</si>
  <si>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</si>
  <si>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</si>
  <si>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</si>
  <si>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</si>
  <si>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</si>
  <si>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</si>
  <si>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</si>
  <si>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</si>
  <si>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</si>
  <si>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</si>
  <si>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</si>
  <si>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</si>
  <si>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</si>
  <si>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</si>
  <si>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</si>
  <si>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</si>
  <si>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</si>
  <si>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</si>
  <si>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</si>
  <si>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</si>
  <si>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</si>
  <si>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</si>
  <si>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</si>
  <si>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</si>
  <si>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</si>
  <si>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</si>
  <si>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</si>
  <si>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</si>
  <si>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</si>
  <si>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</si>
  <si>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</si>
  <si>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</si>
  <si>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</si>
  <si>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</si>
  <si>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</si>
  <si>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</si>
  <si>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</si>
  <si>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</si>
  <si>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</si>
  <si>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</si>
  <si>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</si>
  <si>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</si>
  <si>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</si>
  <si>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</si>
  <si>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</si>
  <si>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</si>
  <si>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</si>
  <si>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</si>
  <si>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</si>
  <si>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</si>
  <si>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</si>
  <si>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</si>
  <si>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</si>
  <si>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</si>
  <si>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</si>
  <si>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</si>
  <si>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</si>
  <si>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</si>
  <si>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</si>
  <si>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</si>
  <si>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</si>
  <si>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</si>
  <si>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</si>
  <si>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</si>
  <si>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</si>
  <si>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</si>
  <si>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</si>
  <si>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</si>
  <si>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</si>
  <si>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</si>
  <si>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</si>
  <si>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</si>
  <si>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</si>
  <si>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</si>
  <si>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</si>
  <si>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</si>
  <si>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</si>
  <si>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</si>
  <si>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</si>
  <si>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</si>
  <si>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</si>
  <si>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</si>
  <si>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</si>
  <si>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</si>
  <si>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</si>
  <si>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</si>
  <si>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</si>
  <si>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</si>
  <si>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</si>
  <si>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</si>
  <si>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</si>
  <si>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</si>
  <si>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</si>
  <si>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</si>
  <si>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</si>
  <si>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</si>
  <si>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</si>
  <si>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</si>
  <si>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</si>
  <si>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</si>
  <si>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</si>
  <si>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</si>
  <si>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</si>
  <si>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</si>
  <si>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</si>
  <si>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</si>
  <si>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</si>
  <si>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</si>
  <si>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</si>
  <si>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</si>
  <si>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</si>
  <si>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</si>
  <si>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</si>
  <si>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</si>
  <si>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</si>
  <si>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</si>
  <si>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</si>
  <si>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</si>
  <si>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</si>
  <si>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</si>
  <si>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</si>
  <si>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</si>
  <si>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</si>
  <si>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</si>
  <si>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</si>
  <si>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</si>
  <si>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</si>
  <si>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</si>
  <si>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</si>
  <si>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</si>
  <si>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</si>
  <si>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</si>
  <si>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</si>
  <si>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</si>
  <si>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</si>
  <si>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</si>
  <si>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</si>
  <si>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</si>
  <si>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</si>
  <si>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</si>
  <si>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</si>
  <si>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</si>
  <si>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</si>
  <si>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</si>
  <si>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</si>
  <si>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</si>
  <si>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</si>
  <si>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</si>
  <si>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</si>
  <si>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</si>
  <si>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</si>
  <si>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</si>
  <si>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</si>
  <si>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</si>
  <si>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</si>
  <si>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</si>
  <si>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</si>
  <si>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</si>
  <si>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</si>
  <si>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</si>
  <si>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</si>
  <si>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</si>
  <si>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</si>
  <si>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</si>
  <si>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</si>
  <si>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</si>
  <si>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</si>
  <si>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</si>
  <si>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</si>
  <si>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</si>
  <si>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</si>
  <si>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</si>
  <si>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</si>
  <si>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</si>
  <si>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</si>
  <si>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</si>
  <si>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</si>
  <si>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</si>
  <si>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</si>
  <si>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</si>
  <si>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</si>
  <si>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</si>
  <si>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</si>
  <si>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</si>
  <si>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</si>
  <si>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</si>
  <si>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</si>
  <si>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</si>
  <si>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</si>
  <si>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</si>
  <si>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</si>
  <si>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</si>
  <si>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</si>
  <si>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</si>
  <si>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</si>
  <si>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</si>
  <si>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</si>
  <si>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</si>
  <si>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</si>
  <si>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</si>
  <si>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</si>
  <si>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</si>
  <si>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</si>
  <si>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</si>
  <si>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</si>
  <si>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</si>
  <si>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</si>
  <si>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</si>
  <si>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</si>
  <si>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</si>
  <si>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</si>
  <si>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</si>
  <si>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</si>
  <si>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</si>
  <si>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</si>
  <si>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</si>
  <si>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</si>
  <si>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</si>
  <si>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</si>
  <si>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</si>
  <si>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</si>
  <si>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</si>
  <si>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</si>
  <si>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</si>
  <si>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</si>
  <si>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</si>
  <si>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</si>
  <si>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</si>
  <si>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</si>
  <si>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</si>
  <si>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</si>
  <si>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</si>
  <si>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</si>
  <si>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</si>
  <si>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</si>
  <si>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</si>
  <si>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</si>
  <si>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</si>
  <si>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</si>
  <si>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</si>
  <si>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</si>
  <si>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</si>
  <si>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</si>
  <si>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</si>
  <si>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</si>
  <si>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</si>
  <si>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</si>
  <si>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</si>
  <si>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</si>
  <si>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</si>
  <si>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</si>
  <si>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</si>
  <si>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</si>
  <si>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</si>
  <si>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</si>
  <si>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</si>
  <si>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</si>
  <si>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</si>
  <si>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</si>
  <si>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</si>
  <si>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</si>
  <si>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</si>
  <si>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</si>
  <si>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</si>
  <si>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</si>
  <si>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</si>
  <si>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</si>
  <si>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</si>
  <si>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</si>
  <si>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</si>
  <si>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</si>
  <si>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</si>
  <si>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</si>
  <si>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</si>
  <si>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</si>
  <si>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</si>
  <si>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</si>
  <si>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</si>
  <si>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</si>
  <si>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</si>
  <si>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</si>
  <si>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</si>
  <si>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</si>
  <si>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</si>
  <si>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</si>
  <si>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</si>
  <si>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</si>
  <si>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</si>
  <si>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</si>
  <si>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</si>
  <si>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</si>
  <si>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</si>
  <si>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</si>
  <si>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</si>
  <si>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</si>
  <si>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</si>
  <si>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</si>
  <si>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</si>
  <si>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</si>
  <si>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</si>
  <si>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</si>
  <si>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</si>
  <si>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</si>
  <si>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</si>
  <si>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</si>
  <si>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</si>
  <si>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</si>
  <si>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</si>
  <si>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</si>
  <si>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</si>
  <si>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</si>
  <si>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</si>
  <si>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</si>
  <si>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</si>
  <si>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</si>
  <si>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</si>
  <si>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</si>
  <si>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</si>
  <si>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</si>
  <si>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</si>
  <si>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</si>
  <si>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</si>
  <si>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</si>
  <si>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</si>
  <si>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</si>
  <si>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</si>
  <si>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</si>
  <si>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</si>
  <si>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</si>
  <si>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</si>
  <si>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</si>
  <si>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</si>
  <si>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</si>
  <si>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</si>
  <si>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</si>
  <si>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</si>
  <si>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</si>
  <si>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</si>
  <si>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</si>
  <si>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</si>
  <si>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</si>
  <si>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</si>
  <si>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</si>
  <si>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</si>
  <si>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</si>
  <si>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</si>
  <si>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</si>
  <si>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</si>
  <si>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</si>
  <si>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</si>
  <si>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</si>
  <si>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</si>
  <si>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</si>
  <si>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</si>
  <si>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</si>
  <si>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</si>
  <si>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</si>
  <si>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</si>
  <si>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</si>
  <si>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</si>
  <si>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</si>
  <si>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</si>
  <si>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</si>
  <si>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</si>
  <si>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</si>
  <si>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</si>
  <si>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</si>
  <si>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</si>
  <si>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</si>
  <si>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</si>
  <si>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</si>
  <si>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</si>
  <si>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</si>
  <si>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</si>
  <si>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</si>
  <si>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</si>
  <si>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</si>
  <si>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</si>
  <si>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</si>
  <si>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</si>
  <si>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</si>
  <si>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</si>
  <si>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</si>
  <si>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</si>
  <si>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</si>
  <si>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</si>
  <si>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</si>
  <si>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</si>
  <si>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</si>
  <si>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</si>
  <si>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</si>
  <si>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</si>
  <si>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</si>
  <si>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</si>
  <si>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</si>
  <si>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</si>
  <si>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</si>
  <si>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</si>
  <si>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</si>
  <si>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</si>
  <si>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</si>
  <si>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</si>
  <si>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</si>
  <si>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</si>
  <si>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</si>
  <si>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</si>
  <si>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</si>
  <si>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</si>
  <si>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</si>
  <si>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</si>
  <si>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</si>
  <si>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</si>
  <si>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</si>
  <si>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</si>
  <si>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</si>
  <si>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</si>
  <si>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</si>
  <si>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</si>
  <si>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</si>
  <si>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</si>
  <si>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</si>
  <si>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</si>
  <si>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</si>
  <si>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</si>
  <si>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</si>
  <si>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</si>
  <si>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</si>
  <si>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</si>
  <si>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</si>
  <si>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</si>
  <si>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</si>
  <si>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</si>
  <si>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</si>
  <si>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</si>
  <si>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</si>
  <si>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</si>
  <si>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</si>
  <si>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</si>
  <si>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</si>
  <si>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</si>
  <si>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</si>
  <si>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</si>
  <si>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</si>
  <si>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</si>
  <si>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</si>
  <si>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</si>
  <si>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</si>
  <si>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</si>
  <si>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</si>
  <si>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</si>
  <si>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</si>
  <si>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</si>
  <si>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</si>
  <si>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</si>
  <si>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</si>
  <si>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</si>
  <si>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</si>
  <si>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</si>
  <si>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</si>
  <si>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</si>
  <si>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</si>
  <si>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</si>
  <si>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</si>
  <si>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</si>
  <si>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</si>
  <si>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</si>
  <si>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</si>
  <si>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</si>
  <si>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</si>
  <si>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</si>
  <si>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</si>
  <si>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</si>
  <si>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</si>
  <si>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</si>
  <si>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</si>
  <si>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</si>
  <si>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</si>
  <si>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</si>
  <si>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</si>
  <si>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</si>
  <si>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</si>
  <si>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</si>
  <si>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</si>
  <si>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</si>
  <si>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</si>
  <si>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</si>
  <si>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</si>
  <si>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</si>
  <si>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</si>
  <si>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</si>
  <si>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</si>
  <si>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</si>
  <si>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</si>
  <si>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</si>
  <si>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</si>
  <si>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</si>
  <si>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</si>
  <si>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</si>
  <si>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</si>
  <si>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</si>
  <si>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</si>
  <si>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</si>
  <si>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</si>
  <si>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DOE 25  2014-2015</t>
  </si>
  <si>
    <t xml:space="preserve">Total Fund Equity June 30, 2015**** </t>
  </si>
  <si>
    <t>TOTAL FUND EQUITY, JULY 1, 2014</t>
  </si>
  <si>
    <t>For the Fiscal Year Ending on June 30, 2015</t>
  </si>
  <si>
    <t>For Fiscal Year Ending June 30, 2015</t>
  </si>
  <si>
    <t>Indirect Cost Rate to be determine at later date for FY2016-2017</t>
  </si>
  <si>
    <t>2014-2015 Current Expenditure Per Pupil(in dollars)</t>
  </si>
  <si>
    <t>2014-15-Current Expenditure Per Pupil</t>
  </si>
  <si>
    <t>2014-15-Total Revenues</t>
  </si>
  <si>
    <t>East Kingston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</si>
</sst>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="104" zoomScaleNormal="104" workbookViewId="0">
      <pane xSplit="5" ySplit="3" topLeftCell="F26" activePane="bottomRight" state="frozen"/>
      <selection pane="topRight" activeCell="F1" sqref="F1"/>
      <selection pane="bottomLeft" activeCell="A4" sqref="A4"/>
      <selection pane="bottomRight" activeCell="F46" sqref="F46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153</v>
      </c>
      <c r="C2" s="21">
        <v>153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-9661.41</v>
      </c>
      <c r="G9" s="18"/>
      <c r="H9" s="18"/>
      <c r="I9" s="18"/>
      <c r="J9" s="67">
        <f>SUM(I439)</f>
        <v>694313.94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>
        <v>228183.87</v>
      </c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/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/>
      <c r="G13" s="18"/>
      <c r="H13" s="18"/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14237.04</v>
      </c>
      <c r="G14" s="18">
        <v>1021.7</v>
      </c>
      <c r="H14" s="18">
        <v>4671.7</v>
      </c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>
        <v>2121.2399999999998</v>
      </c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232759.5</v>
      </c>
      <c r="G19" s="41">
        <f>SUM(G9:G18)</f>
        <v>3142.9399999999996</v>
      </c>
      <c r="H19" s="41">
        <f>SUM(H9:H18)</f>
        <v>4671.7</v>
      </c>
      <c r="I19" s="41">
        <f>SUM(I9:I18)</f>
        <v>0</v>
      </c>
      <c r="J19" s="41">
        <f>SUM(J9:J18)</f>
        <v>694313.94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/>
      <c r="H22" s="18"/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-4321.4799999999996</v>
      </c>
      <c r="G23" s="18">
        <v>3142.94</v>
      </c>
      <c r="H23" s="18">
        <v>1178.54</v>
      </c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86950.65</v>
      </c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2227.21</v>
      </c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 t="s">
        <v>287</v>
      </c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84856.38</v>
      </c>
      <c r="G32" s="41">
        <f>SUM(G22:G31)</f>
        <v>3142.94</v>
      </c>
      <c r="H32" s="41">
        <f>SUM(H22:H31)</f>
        <v>1178.54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>
        <v>3493.16</v>
      </c>
      <c r="I48" s="18"/>
      <c r="J48" s="13">
        <f>SUM(I459)</f>
        <v>694313.94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147903.12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147903.12</v>
      </c>
      <c r="G51" s="41">
        <f>SUM(G35:G50)</f>
        <v>0</v>
      </c>
      <c r="H51" s="41">
        <f>SUM(H35:H50)</f>
        <v>3493.16</v>
      </c>
      <c r="I51" s="41">
        <f>SUM(I35:I50)</f>
        <v>0</v>
      </c>
      <c r="J51" s="41">
        <f>SUM(J35:J50)</f>
        <v>694313.94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232759.5</v>
      </c>
      <c r="G52" s="41">
        <f>G51+G32</f>
        <v>3142.94</v>
      </c>
      <c r="H52" s="41">
        <f>H51+H32</f>
        <v>4671.7</v>
      </c>
      <c r="I52" s="41">
        <f>I51+I32</f>
        <v>0</v>
      </c>
      <c r="J52" s="41">
        <f>J51+J32</f>
        <v>694313.94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2204998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2204998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0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474.85</v>
      </c>
      <c r="G96" s="18"/>
      <c r="H96" s="18"/>
      <c r="I96" s="18"/>
      <c r="J96" s="18">
        <v>9685.9500000000007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25726.01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>
        <v>3193.16</v>
      </c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>
        <v>3769.19</v>
      </c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398.8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4642.84</v>
      </c>
      <c r="G111" s="41">
        <f>SUM(G96:G110)</f>
        <v>25726.01</v>
      </c>
      <c r="H111" s="41">
        <f>SUM(H96:H110)</f>
        <v>3193.16</v>
      </c>
      <c r="I111" s="41">
        <f>SUM(I96:I110)</f>
        <v>0</v>
      </c>
      <c r="J111" s="41">
        <f>SUM(J96:J110)</f>
        <v>9685.9500000000007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2209640.84</v>
      </c>
      <c r="G112" s="41">
        <f>G60+G111</f>
        <v>25726.01</v>
      </c>
      <c r="H112" s="41">
        <f>H60+H79+H94+H111</f>
        <v>3193.16</v>
      </c>
      <c r="I112" s="41">
        <f>I60+I111</f>
        <v>0</v>
      </c>
      <c r="J112" s="41">
        <f>J60+J111</f>
        <v>9685.9500000000007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306486.15000000002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290307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596793.15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664.86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0</v>
      </c>
      <c r="G136" s="41">
        <f>SUM(G123:G135)</f>
        <v>664.86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596793.15</v>
      </c>
      <c r="G140" s="41">
        <f>G121+SUM(G136:G137)</f>
        <v>664.86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/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/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10598.14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26683.21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26683.21</v>
      </c>
      <c r="G162" s="41">
        <f>SUM(G150:G161)</f>
        <v>10598.14</v>
      </c>
      <c r="H162" s="41">
        <f>SUM(H150:H161)</f>
        <v>0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26683.21</v>
      </c>
      <c r="G169" s="41">
        <f>G147+G162+SUM(G163:G168)</f>
        <v>10598.14</v>
      </c>
      <c r="H169" s="41">
        <f>H147+H162+SUM(H163:H168)</f>
        <v>0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10475.030000000001</v>
      </c>
      <c r="H179" s="18"/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10475.030000000001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10475.030000000001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2833117.1999999997</v>
      </c>
      <c r="G193" s="47">
        <f>G112+G140+G169+G192</f>
        <v>47464.039999999994</v>
      </c>
      <c r="H193" s="47">
        <f>H112+H140+H169+H192</f>
        <v>3193.16</v>
      </c>
      <c r="I193" s="47">
        <f>I112+I140+I169+I192</f>
        <v>0</v>
      </c>
      <c r="J193" s="47">
        <f>J112+J140+J192</f>
        <v>9685.9500000000007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925133.15</v>
      </c>
      <c r="G197" s="18">
        <v>382137.21</v>
      </c>
      <c r="H197" s="18">
        <v>2000</v>
      </c>
      <c r="I197" s="18">
        <v>22402.49</v>
      </c>
      <c r="J197" s="18">
        <v>4161.17</v>
      </c>
      <c r="K197" s="18"/>
      <c r="L197" s="19">
        <f>SUM(F197:K197)</f>
        <v>1335834.02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318567.08</v>
      </c>
      <c r="G198" s="18">
        <v>95056.639999999999</v>
      </c>
      <c r="H198" s="18">
        <v>47585.78</v>
      </c>
      <c r="I198" s="18">
        <v>1544.64</v>
      </c>
      <c r="J198" s="18">
        <v>1753.45</v>
      </c>
      <c r="K198" s="18"/>
      <c r="L198" s="19">
        <f>SUM(F198:K198)</f>
        <v>464507.59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3540</v>
      </c>
      <c r="G200" s="18"/>
      <c r="H200" s="18"/>
      <c r="I200" s="18"/>
      <c r="J200" s="18"/>
      <c r="K200" s="18">
        <v>7799.1</v>
      </c>
      <c r="L200" s="19">
        <f>SUM(F200:K200)</f>
        <v>11339.1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174971.8</v>
      </c>
      <c r="G202" s="18">
        <v>24754.98</v>
      </c>
      <c r="H202" s="18">
        <v>19899.25</v>
      </c>
      <c r="I202" s="18">
        <v>739.73</v>
      </c>
      <c r="J202" s="18"/>
      <c r="K202" s="18"/>
      <c r="L202" s="19">
        <f t="shared" ref="L202:L208" si="0">SUM(F202:K202)</f>
        <v>220365.76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47940.13</v>
      </c>
      <c r="G203" s="18">
        <v>44114.27</v>
      </c>
      <c r="H203" s="18">
        <v>26828.01</v>
      </c>
      <c r="I203" s="18">
        <v>6950.96</v>
      </c>
      <c r="J203" s="18">
        <v>15894.64</v>
      </c>
      <c r="K203" s="18"/>
      <c r="L203" s="19">
        <f t="shared" si="0"/>
        <v>141728.01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6010</v>
      </c>
      <c r="G204" s="18">
        <v>2755.18</v>
      </c>
      <c r="H204" s="18">
        <v>68904.06</v>
      </c>
      <c r="I204" s="18"/>
      <c r="J204" s="18"/>
      <c r="K204" s="18"/>
      <c r="L204" s="19">
        <f t="shared" si="0"/>
        <v>77669.239999999991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134977.96</v>
      </c>
      <c r="G205" s="18">
        <v>36659.33</v>
      </c>
      <c r="H205" s="18">
        <v>15987.84</v>
      </c>
      <c r="I205" s="18">
        <v>6601.71</v>
      </c>
      <c r="J205" s="18">
        <v>2834.59</v>
      </c>
      <c r="K205" s="18">
        <v>1543.93</v>
      </c>
      <c r="L205" s="19">
        <f t="shared" si="0"/>
        <v>198605.35999999996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64142.97</v>
      </c>
      <c r="G207" s="18">
        <v>14606.41</v>
      </c>
      <c r="H207" s="18">
        <v>69559.64</v>
      </c>
      <c r="I207" s="18">
        <v>54624.87</v>
      </c>
      <c r="J207" s="18">
        <v>1377.99</v>
      </c>
      <c r="K207" s="18"/>
      <c r="L207" s="19">
        <f t="shared" si="0"/>
        <v>204311.88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87468.5</v>
      </c>
      <c r="I208" s="18"/>
      <c r="J208" s="18"/>
      <c r="K208" s="18"/>
      <c r="L208" s="19">
        <f t="shared" si="0"/>
        <v>87468.5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1675283.0899999999</v>
      </c>
      <c r="G211" s="41">
        <f t="shared" si="1"/>
        <v>600084.02</v>
      </c>
      <c r="H211" s="41">
        <f t="shared" si="1"/>
        <v>338233.07999999996</v>
      </c>
      <c r="I211" s="41">
        <f t="shared" si="1"/>
        <v>92864.4</v>
      </c>
      <c r="J211" s="41">
        <f t="shared" si="1"/>
        <v>26021.84</v>
      </c>
      <c r="K211" s="41">
        <f t="shared" si="1"/>
        <v>9343.0300000000007</v>
      </c>
      <c r="L211" s="41">
        <f t="shared" si="1"/>
        <v>2741829.4600000004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/>
      <c r="I233" s="18"/>
      <c r="J233" s="18"/>
      <c r="K233" s="18"/>
      <c r="L233" s="19">
        <f>SUM(F233:K233)</f>
        <v>0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/>
      <c r="I244" s="18"/>
      <c r="J244" s="18"/>
      <c r="K244" s="18"/>
      <c r="L244" s="19">
        <f t="shared" si="4"/>
        <v>0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0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0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1675283.0899999999</v>
      </c>
      <c r="G257" s="41">
        <f t="shared" si="8"/>
        <v>600084.02</v>
      </c>
      <c r="H257" s="41">
        <f t="shared" si="8"/>
        <v>338233.07999999996</v>
      </c>
      <c r="I257" s="41">
        <f t="shared" si="8"/>
        <v>92864.4</v>
      </c>
      <c r="J257" s="41">
        <f t="shared" si="8"/>
        <v>26021.84</v>
      </c>
      <c r="K257" s="41">
        <f t="shared" si="8"/>
        <v>9343.0300000000007</v>
      </c>
      <c r="L257" s="41">
        <f t="shared" si="8"/>
        <v>2741829.4600000004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10475.030000000001</v>
      </c>
      <c r="L263" s="19">
        <f>SUM(F263:K263)</f>
        <v>10475.030000000001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10475.030000000001</v>
      </c>
      <c r="L270" s="41">
        <f t="shared" si="9"/>
        <v>10475.030000000001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1675283.0899999999</v>
      </c>
      <c r="G271" s="42">
        <f t="shared" si="11"/>
        <v>600084.02</v>
      </c>
      <c r="H271" s="42">
        <f t="shared" si="11"/>
        <v>338233.07999999996</v>
      </c>
      <c r="I271" s="42">
        <f t="shared" si="11"/>
        <v>92864.4</v>
      </c>
      <c r="J271" s="42">
        <f t="shared" si="11"/>
        <v>26021.84</v>
      </c>
      <c r="K271" s="42">
        <f t="shared" si="11"/>
        <v>19818.060000000001</v>
      </c>
      <c r="L271" s="42">
        <f t="shared" si="11"/>
        <v>2752304.49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/>
      <c r="G276" s="18"/>
      <c r="H276" s="18"/>
      <c r="I276" s="18">
        <v>1700</v>
      </c>
      <c r="J276" s="18"/>
      <c r="K276" s="18"/>
      <c r="L276" s="19">
        <f>SUM(F276:K276)</f>
        <v>1700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/>
      <c r="H282" s="18"/>
      <c r="I282" s="18"/>
      <c r="J282" s="18"/>
      <c r="K282" s="18"/>
      <c r="L282" s="19">
        <f t="shared" si="12"/>
        <v>0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 t="s">
        <v>287</v>
      </c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0</v>
      </c>
      <c r="G290" s="42">
        <f t="shared" si="13"/>
        <v>0</v>
      </c>
      <c r="H290" s="42">
        <f t="shared" si="13"/>
        <v>0</v>
      </c>
      <c r="I290" s="42">
        <f t="shared" si="13"/>
        <v>1700</v>
      </c>
      <c r="J290" s="42">
        <f t="shared" si="13"/>
        <v>0</v>
      </c>
      <c r="K290" s="42">
        <f t="shared" si="13"/>
        <v>0</v>
      </c>
      <c r="L290" s="41">
        <f t="shared" si="13"/>
        <v>1700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0</v>
      </c>
      <c r="G338" s="41">
        <f t="shared" si="20"/>
        <v>0</v>
      </c>
      <c r="H338" s="41">
        <f t="shared" si="20"/>
        <v>0</v>
      </c>
      <c r="I338" s="41">
        <f t="shared" si="20"/>
        <v>1700</v>
      </c>
      <c r="J338" s="41">
        <f t="shared" si="20"/>
        <v>0</v>
      </c>
      <c r="K338" s="41">
        <f t="shared" si="20"/>
        <v>0</v>
      </c>
      <c r="L338" s="41">
        <f t="shared" si="20"/>
        <v>1700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0</v>
      </c>
      <c r="G352" s="41">
        <f>G338</f>
        <v>0</v>
      </c>
      <c r="H352" s="41">
        <f>H338</f>
        <v>0</v>
      </c>
      <c r="I352" s="41">
        <f>I338</f>
        <v>1700</v>
      </c>
      <c r="J352" s="41">
        <f>J338</f>
        <v>0</v>
      </c>
      <c r="K352" s="47">
        <f>K338+K351</f>
        <v>0</v>
      </c>
      <c r="L352" s="41">
        <f>L338+L351</f>
        <v>1700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25525.77</v>
      </c>
      <c r="G358" s="18">
        <v>1119.8499999999999</v>
      </c>
      <c r="H358" s="18">
        <v>600</v>
      </c>
      <c r="I358" s="18">
        <v>20218.419999999998</v>
      </c>
      <c r="J358" s="18"/>
      <c r="K358" s="18"/>
      <c r="L358" s="13">
        <f>SUM(F358:K358)</f>
        <v>47464.039999999994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25525.77</v>
      </c>
      <c r="G362" s="47">
        <f t="shared" si="22"/>
        <v>1119.8499999999999</v>
      </c>
      <c r="H362" s="47">
        <f t="shared" si="22"/>
        <v>600</v>
      </c>
      <c r="I362" s="47">
        <f t="shared" si="22"/>
        <v>20218.419999999998</v>
      </c>
      <c r="J362" s="47">
        <f t="shared" si="22"/>
        <v>0</v>
      </c>
      <c r="K362" s="47">
        <f t="shared" si="22"/>
        <v>0</v>
      </c>
      <c r="L362" s="47">
        <f t="shared" si="22"/>
        <v>47464.039999999994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20218.419999999998</v>
      </c>
      <c r="G367" s="18"/>
      <c r="H367" s="18"/>
      <c r="I367" s="56">
        <f>SUM(F367:H367)</f>
        <v>20218.419999999998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0</v>
      </c>
      <c r="G368" s="63"/>
      <c r="H368" s="63"/>
      <c r="I368" s="56">
        <f>SUM(F368:H368)</f>
        <v>0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20218.419999999998</v>
      </c>
      <c r="G369" s="47">
        <f>SUM(G367:G368)</f>
        <v>0</v>
      </c>
      <c r="H369" s="47">
        <f>SUM(H367:H368)</f>
        <v>0</v>
      </c>
      <c r="I369" s="47">
        <f>SUM(I367:I368)</f>
        <v>20218.419999999998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>
        <v>9155.94</v>
      </c>
      <c r="I388" s="18"/>
      <c r="J388" s="24" t="s">
        <v>289</v>
      </c>
      <c r="K388" s="24" t="s">
        <v>289</v>
      </c>
      <c r="L388" s="56">
        <f t="shared" si="25"/>
        <v>9155.94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9155.94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9155.94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>
        <v>530.01</v>
      </c>
      <c r="I397" s="18"/>
      <c r="J397" s="24" t="s">
        <v>289</v>
      </c>
      <c r="K397" s="24" t="s">
        <v>289</v>
      </c>
      <c r="L397" s="56">
        <f t="shared" si="26"/>
        <v>530.01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530.01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530.01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9685.9500000000007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9685.9500000000007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>
        <v>694313.94</v>
      </c>
      <c r="G439" s="18"/>
      <c r="H439" s="18"/>
      <c r="I439" s="56">
        <f t="shared" ref="I439:I445" si="33">SUM(F439:H439)</f>
        <v>694313.94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694313.94</v>
      </c>
      <c r="G446" s="13">
        <f>SUM(G439:G445)</f>
        <v>0</v>
      </c>
      <c r="H446" s="13">
        <f>SUM(H439:H445)</f>
        <v>0</v>
      </c>
      <c r="I446" s="13">
        <f>SUM(I439:I445)</f>
        <v>694313.94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v>694313.94</v>
      </c>
      <c r="G459" s="18"/>
      <c r="H459" s="18"/>
      <c r="I459" s="56">
        <f t="shared" si="34"/>
        <v>694313.94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694313.94</v>
      </c>
      <c r="G460" s="83">
        <f>SUM(G454:G459)</f>
        <v>0</v>
      </c>
      <c r="H460" s="83">
        <f>SUM(H454:H459)</f>
        <v>0</v>
      </c>
      <c r="I460" s="83">
        <f>SUM(I454:I459)</f>
        <v>694313.94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694313.94</v>
      </c>
      <c r="G461" s="42">
        <f>G452+G460</f>
        <v>0</v>
      </c>
      <c r="H461" s="42">
        <f>H452+H460</f>
        <v>0</v>
      </c>
      <c r="I461" s="42">
        <f>I452+I460</f>
        <v>694313.94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904</v>
      </c>
      <c r="B465" s="105">
        <v>19</v>
      </c>
      <c r="C465" s="111">
        <v>1</v>
      </c>
      <c r="D465" s="2" t="s">
        <v>433</v>
      </c>
      <c r="E465" s="111"/>
      <c r="F465" s="18">
        <v>67090.41</v>
      </c>
      <c r="G465" s="18">
        <v>0</v>
      </c>
      <c r="H465" s="18">
        <v>2000</v>
      </c>
      <c r="I465" s="18" t="s">
        <v>287</v>
      </c>
      <c r="J465" s="18">
        <v>684627.99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2833117.2</v>
      </c>
      <c r="G468" s="18">
        <v>47464.04</v>
      </c>
      <c r="H468" s="18">
        <v>3193.16</v>
      </c>
      <c r="I468" s="18" t="s">
        <v>287</v>
      </c>
      <c r="J468" s="18">
        <v>9685.9500000000007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2833117.2</v>
      </c>
      <c r="G470" s="53">
        <f>SUM(G468:G469)</f>
        <v>47464.04</v>
      </c>
      <c r="H470" s="53">
        <f>SUM(H468:H469)</f>
        <v>3193.16</v>
      </c>
      <c r="I470" s="53">
        <f>SUM(I468:I469)</f>
        <v>0</v>
      </c>
      <c r="J470" s="53">
        <f>SUM(J468:J469)</f>
        <v>9685.9500000000007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2752304.49</v>
      </c>
      <c r="G472" s="18">
        <v>47464.04</v>
      </c>
      <c r="H472" s="18">
        <v>1700</v>
      </c>
      <c r="I472" s="18" t="s">
        <v>287</v>
      </c>
      <c r="J472" s="18"/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2752304.49</v>
      </c>
      <c r="G474" s="53">
        <f>SUM(G472:G473)</f>
        <v>47464.04</v>
      </c>
      <c r="H474" s="53">
        <f>SUM(H472:H473)</f>
        <v>1700</v>
      </c>
      <c r="I474" s="53">
        <f>SUM(I472:I473)</f>
        <v>0</v>
      </c>
      <c r="J474" s="53">
        <f>SUM(J472:J473)</f>
        <v>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903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147903.12000000011</v>
      </c>
      <c r="G476" s="53">
        <f>(G465+G470)- G474</f>
        <v>0</v>
      </c>
      <c r="H476" s="53">
        <f>(H465+H470)- H474</f>
        <v>3493.16</v>
      </c>
      <c r="I476" s="53">
        <f>(I465+I470)- I474</f>
        <v>0</v>
      </c>
      <c r="J476" s="53">
        <f>(J465+J470)- J474</f>
        <v>694313.94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318567.08</v>
      </c>
      <c r="G521" s="18">
        <v>95056.639999999999</v>
      </c>
      <c r="H521" s="18">
        <v>47585.78</v>
      </c>
      <c r="I521" s="18">
        <v>1544.64</v>
      </c>
      <c r="J521" s="18">
        <v>1753.45</v>
      </c>
      <c r="K521" s="18"/>
      <c r="L521" s="88">
        <f>SUM(F521:K521)</f>
        <v>464507.59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/>
      <c r="I523" s="18"/>
      <c r="J523" s="18"/>
      <c r="K523" s="18"/>
      <c r="L523" s="88">
        <f>SUM(F523:K523)</f>
        <v>0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318567.08</v>
      </c>
      <c r="G524" s="108">
        <f t="shared" ref="G524:L524" si="36">SUM(G521:G523)</f>
        <v>95056.639999999999</v>
      </c>
      <c r="H524" s="108">
        <f t="shared" si="36"/>
        <v>47585.78</v>
      </c>
      <c r="I524" s="108">
        <f t="shared" si="36"/>
        <v>1544.64</v>
      </c>
      <c r="J524" s="108">
        <f t="shared" si="36"/>
        <v>1753.45</v>
      </c>
      <c r="K524" s="108">
        <f t="shared" si="36"/>
        <v>0</v>
      </c>
      <c r="L524" s="89">
        <f t="shared" si="36"/>
        <v>464507.59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174971.8</v>
      </c>
      <c r="G526" s="18">
        <v>45492.67</v>
      </c>
      <c r="H526" s="18">
        <v>19899.25</v>
      </c>
      <c r="I526" s="18">
        <v>739.73</v>
      </c>
      <c r="J526" s="18"/>
      <c r="K526" s="18"/>
      <c r="L526" s="88">
        <f>SUM(F526:K526)</f>
        <v>241103.44999999998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174971.8</v>
      </c>
      <c r="G529" s="89">
        <f t="shared" ref="G529:L529" si="37">SUM(G526:G528)</f>
        <v>45492.67</v>
      </c>
      <c r="H529" s="89">
        <f t="shared" si="37"/>
        <v>19899.25</v>
      </c>
      <c r="I529" s="89">
        <f t="shared" si="37"/>
        <v>739.73</v>
      </c>
      <c r="J529" s="89">
        <f t="shared" si="37"/>
        <v>0</v>
      </c>
      <c r="K529" s="89">
        <f t="shared" si="37"/>
        <v>0</v>
      </c>
      <c r="L529" s="89">
        <f t="shared" si="37"/>
        <v>241103.44999999998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25017.3</v>
      </c>
      <c r="G531" s="18">
        <v>8255.7099999999991</v>
      </c>
      <c r="H531" s="18">
        <v>3565.29</v>
      </c>
      <c r="I531" s="18">
        <v>1583.69</v>
      </c>
      <c r="J531" s="18">
        <v>876.55</v>
      </c>
      <c r="K531" s="18"/>
      <c r="L531" s="88">
        <f>SUM(F531:K531)</f>
        <v>39298.54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25017.3</v>
      </c>
      <c r="G534" s="89">
        <f t="shared" ref="G534:L534" si="38">SUM(G531:G533)</f>
        <v>8255.7099999999991</v>
      </c>
      <c r="H534" s="89">
        <f t="shared" si="38"/>
        <v>3565.29</v>
      </c>
      <c r="I534" s="89">
        <f t="shared" si="38"/>
        <v>1583.69</v>
      </c>
      <c r="J534" s="89">
        <f t="shared" si="38"/>
        <v>876.55</v>
      </c>
      <c r="K534" s="89">
        <f t="shared" si="38"/>
        <v>0</v>
      </c>
      <c r="L534" s="89">
        <f t="shared" si="38"/>
        <v>39298.54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>
        <v>792.25</v>
      </c>
      <c r="I536" s="18"/>
      <c r="J536" s="18"/>
      <c r="K536" s="18"/>
      <c r="L536" s="88">
        <f>SUM(F536:K536)</f>
        <v>792.25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792.25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792.25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9686.9</v>
      </c>
      <c r="I541" s="18"/>
      <c r="J541" s="18"/>
      <c r="K541" s="18"/>
      <c r="L541" s="88">
        <f>SUM(F541:K541)</f>
        <v>9686.9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9686.9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9686.9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518556.18</v>
      </c>
      <c r="G545" s="89">
        <f t="shared" ref="G545:L545" si="41">G524+G529+G534+G539+G544</f>
        <v>148805.01999999999</v>
      </c>
      <c r="H545" s="89">
        <f t="shared" si="41"/>
        <v>81529.469999999987</v>
      </c>
      <c r="I545" s="89">
        <f t="shared" si="41"/>
        <v>3868.06</v>
      </c>
      <c r="J545" s="89">
        <f t="shared" si="41"/>
        <v>2630</v>
      </c>
      <c r="K545" s="89">
        <f t="shared" si="41"/>
        <v>0</v>
      </c>
      <c r="L545" s="89">
        <f t="shared" si="41"/>
        <v>755388.7300000001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464507.59</v>
      </c>
      <c r="G549" s="87">
        <f>L526</f>
        <v>241103.44999999998</v>
      </c>
      <c r="H549" s="87">
        <f>L531</f>
        <v>39298.54</v>
      </c>
      <c r="I549" s="87">
        <f>L536</f>
        <v>792.25</v>
      </c>
      <c r="J549" s="87">
        <f>L541</f>
        <v>9686.9</v>
      </c>
      <c r="K549" s="87">
        <f>SUM(F549:J549)</f>
        <v>755388.7300000001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0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0</v>
      </c>
      <c r="K551" s="87">
        <f>SUM(F551:J551)</f>
        <v>0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464507.59</v>
      </c>
      <c r="G552" s="89">
        <f t="shared" si="42"/>
        <v>241103.44999999998</v>
      </c>
      <c r="H552" s="89">
        <f t="shared" si="42"/>
        <v>39298.54</v>
      </c>
      <c r="I552" s="89">
        <f t="shared" si="42"/>
        <v>792.25</v>
      </c>
      <c r="J552" s="89">
        <f t="shared" si="42"/>
        <v>9686.9</v>
      </c>
      <c r="K552" s="89">
        <f t="shared" si="42"/>
        <v>755388.7300000001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13976.8</v>
      </c>
      <c r="G582" s="18"/>
      <c r="H582" s="18"/>
      <c r="I582" s="87">
        <f t="shared" si="47"/>
        <v>13976.8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77781.600000000006</v>
      </c>
      <c r="I591" s="18"/>
      <c r="J591" s="18"/>
      <c r="K591" s="104">
        <f t="shared" ref="K591:K597" si="48">SUM(H591:J591)</f>
        <v>77781.600000000006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9686.9</v>
      </c>
      <c r="I592" s="18"/>
      <c r="J592" s="18"/>
      <c r="K592" s="104">
        <f t="shared" si="48"/>
        <v>9686.9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87468.5</v>
      </c>
      <c r="I598" s="108">
        <f>SUM(I591:I597)</f>
        <v>0</v>
      </c>
      <c r="J598" s="108">
        <f>SUM(J591:J597)</f>
        <v>0</v>
      </c>
      <c r="K598" s="108">
        <f>SUM(K591:K597)</f>
        <v>87468.5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26021.84</v>
      </c>
      <c r="I604" s="18"/>
      <c r="J604" s="18"/>
      <c r="K604" s="104">
        <f>SUM(H604:J604)</f>
        <v>26021.84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26021.84</v>
      </c>
      <c r="I605" s="108">
        <f>SUM(I602:I604)</f>
        <v>0</v>
      </c>
      <c r="J605" s="108">
        <f>SUM(J602:J604)</f>
        <v>0</v>
      </c>
      <c r="K605" s="108">
        <f>SUM(K602:K604)</f>
        <v>26021.84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232759.5</v>
      </c>
      <c r="H617" s="109">
        <f>SUM(F52)</f>
        <v>232759.5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3142.9399999999996</v>
      </c>
      <c r="H618" s="109">
        <f>SUM(G52)</f>
        <v>3142.94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4671.7</v>
      </c>
      <c r="H619" s="109">
        <f>SUM(H52)</f>
        <v>4671.7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694313.94</v>
      </c>
      <c r="H621" s="109">
        <f>SUM(J52)</f>
        <v>694313.94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147903.12</v>
      </c>
      <c r="H622" s="109">
        <f>F476</f>
        <v>147903.12000000011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3493.16</v>
      </c>
      <c r="H624" s="109">
        <f>H476</f>
        <v>3493.16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694313.94</v>
      </c>
      <c r="H626" s="109">
        <f>J476</f>
        <v>694313.94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2833117.1999999997</v>
      </c>
      <c r="H627" s="104">
        <f>SUM(F468)</f>
        <v>2833117.2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47464.039999999994</v>
      </c>
      <c r="H628" s="104">
        <f>SUM(G468)</f>
        <v>47464.04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3193.16</v>
      </c>
      <c r="H629" s="104">
        <f>SUM(H468)</f>
        <v>3193.16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9685.9500000000007</v>
      </c>
      <c r="H631" s="104">
        <f>SUM(J468)</f>
        <v>9685.9500000000007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2752304.49</v>
      </c>
      <c r="H632" s="104">
        <f>SUM(F472)</f>
        <v>2752304.49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1700</v>
      </c>
      <c r="H633" s="104">
        <f>SUM(H472)</f>
        <v>1700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20218.419999999998</v>
      </c>
      <c r="H634" s="104">
        <f>I369</f>
        <v>20218.419999999998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47464.039999999994</v>
      </c>
      <c r="H635" s="104">
        <f>SUM(G472)</f>
        <v>47464.04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9685.9500000000007</v>
      </c>
      <c r="H637" s="164">
        <f>SUM(J468)</f>
        <v>9685.9500000000007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694313.94</v>
      </c>
      <c r="H639" s="104">
        <f>SUM(F461)</f>
        <v>694313.94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0</v>
      </c>
      <c r="H640" s="104">
        <f>SUM(G461)</f>
        <v>0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694313.94</v>
      </c>
      <c r="H642" s="104">
        <f>SUM(I461)</f>
        <v>694313.94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9685.9500000000007</v>
      </c>
      <c r="H644" s="104">
        <f>H408</f>
        <v>9685.9500000000007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9685.9500000000007</v>
      </c>
      <c r="H646" s="104">
        <f>L408</f>
        <v>9685.9500000000007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87468.5</v>
      </c>
      <c r="H647" s="104">
        <f>L208+L226+L244</f>
        <v>87468.5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26021.84</v>
      </c>
      <c r="H648" s="104">
        <f>(J257+J338)-(J255+J336)</f>
        <v>26021.84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87468.5</v>
      </c>
      <c r="H649" s="104">
        <f>H598</f>
        <v>87468.5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0</v>
      </c>
      <c r="H651" s="104">
        <f>J598</f>
        <v>0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10475.030000000001</v>
      </c>
      <c r="H652" s="104">
        <f>K263+K345</f>
        <v>10475.030000000001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2790993.5000000005</v>
      </c>
      <c r="G660" s="19">
        <f>(L229+L309+L359)</f>
        <v>0</v>
      </c>
      <c r="H660" s="19">
        <f>(L247+L328+L360)</f>
        <v>0</v>
      </c>
      <c r="I660" s="19">
        <f>SUM(F660:H660)</f>
        <v>2790993.5000000005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25726.01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25726.01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87468.5</v>
      </c>
      <c r="G662" s="19">
        <f>(L226+L306)-(J226+J306)</f>
        <v>0</v>
      </c>
      <c r="H662" s="19">
        <f>(L244+L325)-(J244+J325)</f>
        <v>0</v>
      </c>
      <c r="I662" s="19">
        <f>SUM(F662:H662)</f>
        <v>87468.5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39998.639999999999</v>
      </c>
      <c r="G663" s="199">
        <f>SUM(G575:G587)+SUM(I602:I604)+L612</f>
        <v>0</v>
      </c>
      <c r="H663" s="199">
        <f>SUM(H575:H587)+SUM(J602:J604)+L613</f>
        <v>0</v>
      </c>
      <c r="I663" s="19">
        <f>SUM(F663:H663)</f>
        <v>39998.639999999999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2637800.3500000006</v>
      </c>
      <c r="G664" s="19">
        <f>G660-SUM(G661:G663)</f>
        <v>0</v>
      </c>
      <c r="H664" s="19">
        <f>H660-SUM(H661:H663)</f>
        <v>0</v>
      </c>
      <c r="I664" s="19">
        <f>I660-SUM(I661:I663)</f>
        <v>2637800.3500000006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143.9</v>
      </c>
      <c r="G665" s="248"/>
      <c r="H665" s="248"/>
      <c r="I665" s="19">
        <f>SUM(F665:H665)</f>
        <v>143.9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18330.79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18330.79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18330.79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18330.79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3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2014-2015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/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East Kingston School District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2014-2015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925133.15</v>
      </c>
      <c r="C9" s="229">
        <f>'DOE25'!G197+'DOE25'!G215+'DOE25'!G233+'DOE25'!G276+'DOE25'!G295+'DOE25'!G314</f>
        <v>382137.21</v>
      </c>
    </row>
    <row r="10" spans="1:3" x14ac:dyDescent="0.2">
      <c r="A10" t="s">
        <v>779</v>
      </c>
      <c r="B10" s="240">
        <v>815993.6</v>
      </c>
      <c r="C10" s="240">
        <v>346952.52</v>
      </c>
    </row>
    <row r="11" spans="1:3" x14ac:dyDescent="0.2">
      <c r="A11" t="s">
        <v>780</v>
      </c>
      <c r="B11" s="240">
        <v>87199.69</v>
      </c>
      <c r="C11" s="240">
        <v>29480.32</v>
      </c>
    </row>
    <row r="12" spans="1:3" x14ac:dyDescent="0.2">
      <c r="A12" t="s">
        <v>781</v>
      </c>
      <c r="B12" s="240">
        <v>21939.86</v>
      </c>
      <c r="C12" s="240">
        <v>5704.37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925133.15</v>
      </c>
      <c r="C13" s="231">
        <f>SUM(C10:C12)</f>
        <v>382137.21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318567.08</v>
      </c>
      <c r="C18" s="229">
        <f>'DOE25'!G198+'DOE25'!G216+'DOE25'!G234+'DOE25'!G277+'DOE25'!G296+'DOE25'!G315</f>
        <v>95056.639999999999</v>
      </c>
    </row>
    <row r="19" spans="1:3" x14ac:dyDescent="0.2">
      <c r="A19" t="s">
        <v>779</v>
      </c>
      <c r="B19" s="240">
        <v>111884</v>
      </c>
      <c r="C19" s="240">
        <v>36921.75</v>
      </c>
    </row>
    <row r="20" spans="1:3" x14ac:dyDescent="0.2">
      <c r="A20" t="s">
        <v>780</v>
      </c>
      <c r="B20" s="240">
        <v>199023.08</v>
      </c>
      <c r="C20" s="240">
        <v>57548.51</v>
      </c>
    </row>
    <row r="21" spans="1:3" x14ac:dyDescent="0.2">
      <c r="A21" t="s">
        <v>781</v>
      </c>
      <c r="B21" s="240">
        <v>7660</v>
      </c>
      <c r="C21" s="240">
        <v>586.38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318567.07999999996</v>
      </c>
      <c r="C22" s="231">
        <f>SUM(C19:C21)</f>
        <v>95056.640000000014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3540</v>
      </c>
      <c r="C36" s="235">
        <f>'DOE25'!G200+'DOE25'!G218+'DOE25'!G236+'DOE25'!G279+'DOE25'!G298+'DOE25'!G317</f>
        <v>0</v>
      </c>
    </row>
    <row r="37" spans="1:3" x14ac:dyDescent="0.2">
      <c r="A37" t="s">
        <v>779</v>
      </c>
      <c r="B37" s="240">
        <v>3540</v>
      </c>
      <c r="C37" s="240"/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3540</v>
      </c>
      <c r="C40" s="231">
        <f>SUM(C37:C39)</f>
        <v>0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22" activePane="bottomLeft" state="frozen"/>
      <selection activeCell="F46" sqref="F46"/>
      <selection pane="bottomLeft" activeCell="D49" sqref="D49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East Kingston School District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1811680.7100000002</v>
      </c>
      <c r="D5" s="20">
        <f>SUM('DOE25'!L197:L200)+SUM('DOE25'!L215:L218)+SUM('DOE25'!L233:L236)-F5-G5</f>
        <v>1797966.99</v>
      </c>
      <c r="E5" s="243"/>
      <c r="F5" s="255">
        <f>SUM('DOE25'!J197:J200)+SUM('DOE25'!J215:J218)+SUM('DOE25'!J233:J236)</f>
        <v>5914.62</v>
      </c>
      <c r="G5" s="53">
        <f>SUM('DOE25'!K197:K200)+SUM('DOE25'!K215:K218)+SUM('DOE25'!K233:K236)</f>
        <v>7799.1</v>
      </c>
      <c r="H5" s="259"/>
    </row>
    <row r="6" spans="1:9" x14ac:dyDescent="0.2">
      <c r="A6" s="32">
        <v>2100</v>
      </c>
      <c r="B6" t="s">
        <v>801</v>
      </c>
      <c r="C6" s="245">
        <f t="shared" si="0"/>
        <v>220365.76</v>
      </c>
      <c r="D6" s="20">
        <f>'DOE25'!L202+'DOE25'!L220+'DOE25'!L238-F6-G6</f>
        <v>220365.76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141728.01</v>
      </c>
      <c r="D7" s="20">
        <f>'DOE25'!L203+'DOE25'!L221+'DOE25'!L239-F7-G7</f>
        <v>125833.37000000001</v>
      </c>
      <c r="E7" s="243"/>
      <c r="F7" s="255">
        <f>'DOE25'!J203+'DOE25'!J221+'DOE25'!J239</f>
        <v>15894.64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68465.81</v>
      </c>
      <c r="D8" s="243"/>
      <c r="E8" s="20">
        <f>'DOE25'!L204+'DOE25'!L222+'DOE25'!L240-F8-G8-D9-D11</f>
        <v>68465.81</v>
      </c>
      <c r="F8" s="255">
        <f>'DOE25'!J204+'DOE25'!J222+'DOE25'!J240</f>
        <v>0</v>
      </c>
      <c r="G8" s="53">
        <f>'DOE25'!K204+'DOE25'!K222+'DOE25'!K240</f>
        <v>0</v>
      </c>
      <c r="H8" s="259"/>
    </row>
    <row r="9" spans="1:9" x14ac:dyDescent="0.2">
      <c r="A9" s="32">
        <v>2310</v>
      </c>
      <c r="B9" t="s">
        <v>818</v>
      </c>
      <c r="C9" s="245">
        <f t="shared" si="0"/>
        <v>519.80999999999995</v>
      </c>
      <c r="D9" s="244">
        <v>519.80999999999995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7004</v>
      </c>
      <c r="D10" s="243"/>
      <c r="E10" s="244">
        <v>7004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8683.6200000000008</v>
      </c>
      <c r="D11" s="244">
        <v>8683.6200000000008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198605.35999999996</v>
      </c>
      <c r="D12" s="20">
        <f>'DOE25'!L205+'DOE25'!L223+'DOE25'!L241-F12-G12</f>
        <v>194226.83999999997</v>
      </c>
      <c r="E12" s="243"/>
      <c r="F12" s="255">
        <f>'DOE25'!J205+'DOE25'!J223+'DOE25'!J241</f>
        <v>2834.59</v>
      </c>
      <c r="G12" s="53">
        <f>'DOE25'!K205+'DOE25'!K223+'DOE25'!K241</f>
        <v>1543.93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204311.88</v>
      </c>
      <c r="D14" s="20">
        <f>'DOE25'!L207+'DOE25'!L225+'DOE25'!L243-F14-G14</f>
        <v>202933.89</v>
      </c>
      <c r="E14" s="243"/>
      <c r="F14" s="255">
        <f>'DOE25'!J207+'DOE25'!J225+'DOE25'!J243</f>
        <v>1377.99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87468.5</v>
      </c>
      <c r="D15" s="20">
        <f>'DOE25'!L208+'DOE25'!L226+'DOE25'!L244-F15-G15</f>
        <v>87468.5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27245.619999999995</v>
      </c>
      <c r="D29" s="20">
        <f>'DOE25'!L358+'DOE25'!L359+'DOE25'!L360-'DOE25'!I367-F29-G29</f>
        <v>27245.619999999995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1700</v>
      </c>
      <c r="D31" s="20">
        <f>'DOE25'!L290+'DOE25'!L309+'DOE25'!L328+'DOE25'!L333+'DOE25'!L334+'DOE25'!L335-F31-G31</f>
        <v>1700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2666944.4000000004</v>
      </c>
      <c r="E33" s="246">
        <f>SUM(E5:E31)</f>
        <v>75469.81</v>
      </c>
      <c r="F33" s="246">
        <f>SUM(F5:F31)</f>
        <v>26021.84</v>
      </c>
      <c r="G33" s="246">
        <f>SUM(G5:G31)</f>
        <v>9343.0300000000007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75469.81</v>
      </c>
      <c r="E35" s="249"/>
    </row>
    <row r="36" spans="2:8" ht="12" thickTop="1" x14ac:dyDescent="0.2">
      <c r="B36" t="s">
        <v>815</v>
      </c>
      <c r="D36" s="20">
        <f>D33</f>
        <v>2666944.4000000004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East Kingston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-9661.41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694313.94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228183.87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0</v>
      </c>
      <c r="E12" s="95">
        <f>'DOE25'!H13</f>
        <v>0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14237.04</v>
      </c>
      <c r="D13" s="95">
        <f>'DOE25'!G14</f>
        <v>1021.7</v>
      </c>
      <c r="E13" s="95">
        <f>'DOE25'!H14</f>
        <v>4671.7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2121.2399999999998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232759.5</v>
      </c>
      <c r="D18" s="41">
        <f>SUM(D8:D17)</f>
        <v>3142.9399999999996</v>
      </c>
      <c r="E18" s="41">
        <f>SUM(E8:E17)</f>
        <v>4671.7</v>
      </c>
      <c r="F18" s="41">
        <f>SUM(F8:F17)</f>
        <v>0</v>
      </c>
      <c r="G18" s="41">
        <f>SUM(G8:G17)</f>
        <v>694313.94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-4321.4799999999996</v>
      </c>
      <c r="D22" s="95">
        <f>'DOE25'!G23</f>
        <v>3142.94</v>
      </c>
      <c r="E22" s="95">
        <f>'DOE25'!H23</f>
        <v>1178.54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86950.65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2227.21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 t="str">
        <f>'DOE25'!F29</f>
        <v xml:space="preserve"> 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84856.38</v>
      </c>
      <c r="D31" s="41">
        <f>SUM(D21:D30)</f>
        <v>3142.94</v>
      </c>
      <c r="E31" s="41">
        <f>SUM(E21:E30)</f>
        <v>1178.54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3493.16</v>
      </c>
      <c r="F47" s="95">
        <f>'DOE25'!I48</f>
        <v>0</v>
      </c>
      <c r="G47" s="95">
        <f>'DOE25'!J48</f>
        <v>694313.94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147903.12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147903.12</v>
      </c>
      <c r="D50" s="41">
        <f>SUM(D34:D49)</f>
        <v>0</v>
      </c>
      <c r="E50" s="41">
        <f>SUM(E34:E49)</f>
        <v>3493.16</v>
      </c>
      <c r="F50" s="41">
        <f>SUM(F34:F49)</f>
        <v>0</v>
      </c>
      <c r="G50" s="41">
        <f>SUM(G34:G49)</f>
        <v>694313.94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232759.5</v>
      </c>
      <c r="D51" s="41">
        <f>D50+D31</f>
        <v>3142.94</v>
      </c>
      <c r="E51" s="41">
        <f>E50+E31</f>
        <v>4671.7</v>
      </c>
      <c r="F51" s="41">
        <f>F50+F31</f>
        <v>0</v>
      </c>
      <c r="G51" s="41">
        <f>G50+G31</f>
        <v>694313.94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2204998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0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474.85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9685.9500000000007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25726.01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4167.99</v>
      </c>
      <c r="D61" s="95">
        <f>SUM('DOE25'!G98:G110)</f>
        <v>0</v>
      </c>
      <c r="E61" s="95">
        <f>SUM('DOE25'!H98:H110)</f>
        <v>3193.16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4642.84</v>
      </c>
      <c r="D62" s="130">
        <f>SUM(D57:D61)</f>
        <v>25726.01</v>
      </c>
      <c r="E62" s="130">
        <f>SUM(E57:E61)</f>
        <v>3193.16</v>
      </c>
      <c r="F62" s="130">
        <f>SUM(F57:F61)</f>
        <v>0</v>
      </c>
      <c r="G62" s="130">
        <f>SUM(G57:G61)</f>
        <v>9685.9500000000007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2209640.84</v>
      </c>
      <c r="D63" s="22">
        <f>D56+D62</f>
        <v>25726.01</v>
      </c>
      <c r="E63" s="22">
        <f>E56+E62</f>
        <v>3193.16</v>
      </c>
      <c r="F63" s="22">
        <f>F56+F62</f>
        <v>0</v>
      </c>
      <c r="G63" s="22">
        <f>G56+G62</f>
        <v>9685.9500000000007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306486.15000000002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290307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596793.15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664.86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0</v>
      </c>
      <c r="D78" s="130">
        <f>SUM(D72:D77)</f>
        <v>664.86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596793.15</v>
      </c>
      <c r="D81" s="130">
        <f>SUM(D79:D80)+D78+D70</f>
        <v>664.86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26683.21</v>
      </c>
      <c r="D88" s="95">
        <f>SUM('DOE25'!G153:G161)</f>
        <v>10598.14</v>
      </c>
      <c r="E88" s="95">
        <f>SUM('DOE25'!H153:H161)</f>
        <v>0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26683.21</v>
      </c>
      <c r="D91" s="131">
        <f>SUM(D85:D90)</f>
        <v>10598.14</v>
      </c>
      <c r="E91" s="131">
        <f>SUM(E85:E90)</f>
        <v>0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10475.030000000001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10475.030000000001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2833117.1999999997</v>
      </c>
      <c r="D104" s="86">
        <f>D63+D81+D91+D103</f>
        <v>47464.039999999994</v>
      </c>
      <c r="E104" s="86">
        <f>E63+E81+E91+E103</f>
        <v>3193.16</v>
      </c>
      <c r="F104" s="86">
        <f>F63+F81+F91+F103</f>
        <v>0</v>
      </c>
      <c r="G104" s="86">
        <f>G63+G81+G103</f>
        <v>9685.9500000000007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1335834.02</v>
      </c>
      <c r="D109" s="24" t="s">
        <v>289</v>
      </c>
      <c r="E109" s="95">
        <f>('DOE25'!L276)+('DOE25'!L295)+('DOE25'!L314)</f>
        <v>1700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464507.59</v>
      </c>
      <c r="D110" s="24" t="s">
        <v>289</v>
      </c>
      <c r="E110" s="95">
        <f>('DOE25'!L277)+('DOE25'!L296)+('DOE25'!L315)</f>
        <v>0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11339.1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1811680.7100000002</v>
      </c>
      <c r="D115" s="86">
        <f>SUM(D109:D114)</f>
        <v>0</v>
      </c>
      <c r="E115" s="86">
        <f>SUM(E109:E114)</f>
        <v>1700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220365.76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141728.01</v>
      </c>
      <c r="D119" s="24" t="s">
        <v>289</v>
      </c>
      <c r="E119" s="95">
        <f>+('DOE25'!L282)+('DOE25'!L301)+('DOE25'!L320)</f>
        <v>0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77669.239999999991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198605.35999999996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204311.88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87468.5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47464.039999999994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930148.75</v>
      </c>
      <c r="D128" s="86">
        <f>SUM(D118:D127)</f>
        <v>47464.039999999994</v>
      </c>
      <c r="E128" s="86">
        <f>SUM(E118:E127)</f>
        <v>0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10475.030000000001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9155.94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530.01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-9685.9500000000007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10475.029999999999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2752304.4899999998</v>
      </c>
      <c r="D145" s="86">
        <f>(D115+D128+D144)</f>
        <v>47464.039999999994</v>
      </c>
      <c r="E145" s="86">
        <f>(E115+E128+E144)</f>
        <v>1700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2014-2015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East Kingston School District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18331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18331</v>
      </c>
    </row>
    <row r="9" spans="1:4" x14ac:dyDescent="0.2">
      <c r="A9" s="187" t="s">
        <v>94</v>
      </c>
      <c r="B9" s="188" t="s">
        <v>909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1337534</v>
      </c>
      <c r="D10" s="182">
        <f>ROUND((C10/$C$28)*100,1)</f>
        <v>48.4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464508</v>
      </c>
      <c r="D11" s="182">
        <f>ROUND((C11/$C$28)*100,1)</f>
        <v>16.8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11339</v>
      </c>
      <c r="D13" s="182">
        <f>ROUND((C13/$C$28)*100,1)</f>
        <v>0.4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220366</v>
      </c>
      <c r="D15" s="182">
        <f t="shared" ref="D15:D27" si="0">ROUND((C15/$C$28)*100,1)</f>
        <v>8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141728</v>
      </c>
      <c r="D16" s="182">
        <f t="shared" si="0"/>
        <v>5.0999999999999996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77669</v>
      </c>
      <c r="D17" s="182">
        <f t="shared" si="0"/>
        <v>2.8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198605</v>
      </c>
      <c r="D18" s="182">
        <f t="shared" si="0"/>
        <v>7.2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204312</v>
      </c>
      <c r="D20" s="182">
        <f t="shared" si="0"/>
        <v>7.4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87469</v>
      </c>
      <c r="D21" s="182">
        <f t="shared" si="0"/>
        <v>3.2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21737.99</v>
      </c>
      <c r="D27" s="182">
        <f t="shared" si="0"/>
        <v>0.8</v>
      </c>
    </row>
    <row r="28" spans="1:4" x14ac:dyDescent="0.2">
      <c r="B28" s="187" t="s">
        <v>723</v>
      </c>
      <c r="C28" s="180">
        <f>SUM(C10:C27)</f>
        <v>2765267.99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2765267.99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910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2204998</v>
      </c>
      <c r="D35" s="182">
        <f t="shared" ref="D35:D40" si="1">ROUND((C35/$C$41)*100,1)</f>
        <v>77.2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17521.950000000186</v>
      </c>
      <c r="D36" s="182">
        <f t="shared" si="1"/>
        <v>0.6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596793</v>
      </c>
      <c r="D37" s="182">
        <f t="shared" si="1"/>
        <v>20.9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665</v>
      </c>
      <c r="D38" s="182">
        <f t="shared" si="1"/>
        <v>0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37281</v>
      </c>
      <c r="D39" s="182">
        <f t="shared" si="1"/>
        <v>1.3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2857258.95</v>
      </c>
      <c r="D41" s="184">
        <f>SUM(D35:D40)</f>
        <v>99.999999999999986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767</v>
      </c>
      <c r="B2" s="294"/>
      <c r="C2" s="294"/>
      <c r="D2" s="294"/>
      <c r="E2" s="294"/>
      <c r="F2" s="291" t="str">
        <f>'DOE25'!A2</f>
        <v>East Kingston School District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848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3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2015-08-26T14:50:57Z</cp:lastPrinted>
  <dcterms:created xsi:type="dcterms:W3CDTF">1997-12-04T19:04:30Z</dcterms:created>
  <dcterms:modified xsi:type="dcterms:W3CDTF">2015-12-18T14:40:04Z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-845552791</vt:i4>
  </property>
  <property fmtid="{D5CDD505-2E9C-101B-9397-08002B2CF9AE}" pid="3" name="_EmailSubject">
    <vt:lpwstr>new</vt:lpwstr>
  </property>
  <property fmtid="{D5CDD505-2E9C-101B-9397-08002B2CF9AE}" pid="4" name="_AuthorEmail">
    <vt:lpwstr>SFellows@ed.state.nh.us</vt:lpwstr>
  </property>
  <property fmtid="{D5CDD505-2E9C-101B-9397-08002B2CF9AE}" pid="5" name="_AuthorEmailDisplayName">
    <vt:lpwstr>Fellows, Sallie</vt:lpwstr>
  </property>
  <property fmtid="{D5CDD505-2E9C-101B-9397-08002B2CF9AE}" pid="6" name="_PreviousAdHocReviewCycleID">
    <vt:i4>940553107</vt:i4>
  </property>
  <property fmtid="{D5CDD505-2E9C-101B-9397-08002B2CF9AE}" pid="7" name="_ReviewingToolsShownOnce">
    <vt:lpwstr/>
  </property>
</Properties>
</file>