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30A" lockStructure="1"/>
  <bookViews>
    <workbookView xWindow="0" yWindow="0" windowWidth="23040" windowHeight="940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57" i="1" l="1"/>
  <c r="H557" i="1"/>
  <c r="G613" i="1"/>
  <c r="F613" i="1"/>
  <c r="G612" i="1"/>
  <c r="F612" i="1"/>
  <c r="F611" i="1"/>
  <c r="G611" i="1"/>
  <c r="F557" i="1"/>
  <c r="B20" i="12" l="1"/>
  <c r="J528" i="1" l="1"/>
  <c r="H528" i="1"/>
  <c r="I528" i="1"/>
  <c r="G528" i="1"/>
  <c r="F528" i="1"/>
  <c r="J527" i="1"/>
  <c r="I527" i="1"/>
  <c r="H527" i="1"/>
  <c r="F527" i="1"/>
  <c r="G527" i="1"/>
  <c r="F526" i="1"/>
  <c r="J526" i="1"/>
  <c r="I526" i="1"/>
  <c r="H526" i="1"/>
  <c r="G526" i="1"/>
  <c r="J523" i="1"/>
  <c r="G523" i="1"/>
  <c r="F523" i="1"/>
  <c r="J522" i="1"/>
  <c r="F522" i="1"/>
  <c r="J521" i="1"/>
  <c r="I521" i="1"/>
  <c r="F521" i="1"/>
  <c r="H523" i="1"/>
  <c r="I522" i="1"/>
  <c r="G522" i="1"/>
  <c r="H521" i="1"/>
  <c r="G521" i="1"/>
  <c r="H472" i="1"/>
  <c r="H468" i="1"/>
  <c r="J604" i="1"/>
  <c r="I604" i="1"/>
  <c r="H604" i="1"/>
  <c r="J592" i="1" l="1"/>
  <c r="H592" i="1"/>
  <c r="H591" i="1"/>
  <c r="F582" i="1"/>
  <c r="H583" i="1"/>
  <c r="I319" i="1"/>
  <c r="H276" i="1"/>
  <c r="I281" i="1"/>
  <c r="H281" i="1"/>
  <c r="I314" i="1"/>
  <c r="I300" i="1"/>
  <c r="F300" i="1"/>
  <c r="F319" i="1"/>
  <c r="J317" i="1"/>
  <c r="I277" i="1"/>
  <c r="I320" i="1"/>
  <c r="F283" i="1"/>
  <c r="I301" i="1"/>
  <c r="I282" i="1"/>
  <c r="H320" i="1"/>
  <c r="H301" i="1"/>
  <c r="H282" i="1"/>
  <c r="G320" i="1"/>
  <c r="G301" i="1"/>
  <c r="G282" i="1"/>
  <c r="F320" i="1"/>
  <c r="F301" i="1"/>
  <c r="F282" i="1"/>
  <c r="J320" i="1"/>
  <c r="J301" i="1"/>
  <c r="J282" i="1"/>
  <c r="F281" i="1"/>
  <c r="F314" i="1"/>
  <c r="F295" i="1"/>
  <c r="F276" i="1"/>
  <c r="K344" i="1"/>
  <c r="G315" i="1"/>
  <c r="F315" i="1"/>
  <c r="F296" i="1"/>
  <c r="I276" i="1"/>
  <c r="F277" i="1"/>
  <c r="F197" i="1"/>
  <c r="G197" i="1"/>
  <c r="I198" i="1"/>
  <c r="K204" i="1"/>
  <c r="H368" i="1" l="1"/>
  <c r="G368" i="1"/>
  <c r="F368" i="1"/>
  <c r="G241" i="1"/>
  <c r="G223" i="1"/>
  <c r="G205" i="1"/>
  <c r="G240" i="1"/>
  <c r="G222" i="1"/>
  <c r="G204" i="1"/>
  <c r="G238" i="1"/>
  <c r="G220" i="1"/>
  <c r="G202" i="1"/>
  <c r="G233" i="1"/>
  <c r="G215" i="1"/>
  <c r="G234" i="1"/>
  <c r="F234" i="1"/>
  <c r="F233" i="1"/>
  <c r="F215" i="1"/>
  <c r="G243" i="1" l="1"/>
  <c r="F243" i="1"/>
  <c r="K240" i="1"/>
  <c r="I240" i="1"/>
  <c r="H240" i="1"/>
  <c r="F240" i="1"/>
  <c r="K239" i="1"/>
  <c r="J239" i="1"/>
  <c r="I239" i="1"/>
  <c r="H239" i="1"/>
  <c r="G239" i="1"/>
  <c r="F239" i="1"/>
  <c r="J238" i="1"/>
  <c r="I238" i="1"/>
  <c r="H238" i="1"/>
  <c r="F238" i="1"/>
  <c r="H236" i="1"/>
  <c r="G236" i="1"/>
  <c r="F236" i="1"/>
  <c r="I234" i="1"/>
  <c r="H234" i="1"/>
  <c r="H233" i="1"/>
  <c r="F216" i="1"/>
  <c r="G225" i="1"/>
  <c r="F225" i="1"/>
  <c r="K222" i="1"/>
  <c r="J222" i="1"/>
  <c r="I222" i="1"/>
  <c r="H222" i="1"/>
  <c r="F222" i="1"/>
  <c r="K221" i="1"/>
  <c r="J221" i="1"/>
  <c r="I221" i="1"/>
  <c r="H221" i="1"/>
  <c r="G221" i="1"/>
  <c r="F221" i="1"/>
  <c r="J220" i="1"/>
  <c r="I220" i="1"/>
  <c r="F220" i="1"/>
  <c r="H220" i="1"/>
  <c r="G218" i="1"/>
  <c r="F218" i="1"/>
  <c r="I216" i="1"/>
  <c r="G216" i="1"/>
  <c r="H215" i="1"/>
  <c r="H207" i="1"/>
  <c r="J203" i="1"/>
  <c r="H203" i="1"/>
  <c r="G203" i="1"/>
  <c r="I202" i="1"/>
  <c r="F202" i="1"/>
  <c r="H202" i="1"/>
  <c r="I207" i="1" l="1"/>
  <c r="G207" i="1"/>
  <c r="F207" i="1"/>
  <c r="I204" i="1"/>
  <c r="H204" i="1"/>
  <c r="F204" i="1"/>
  <c r="I203" i="1"/>
  <c r="F203" i="1"/>
  <c r="J202" i="1"/>
  <c r="H198" i="1"/>
  <c r="G198" i="1"/>
  <c r="F198" i="1"/>
  <c r="H161" i="1" l="1"/>
  <c r="H159" i="1"/>
  <c r="H155" i="1"/>
  <c r="G158" i="1"/>
  <c r="G132" i="1"/>
  <c r="G97" i="1"/>
  <c r="F110" i="1"/>
  <c r="H24" i="1"/>
  <c r="H28" i="1"/>
  <c r="G48" i="1"/>
  <c r="G28" i="1"/>
  <c r="F28" i="1"/>
  <c r="F9" i="1"/>
  <c r="C45" i="2" l="1"/>
  <c r="G51" i="1"/>
  <c r="F51" i="1"/>
  <c r="C37" i="10" l="1"/>
  <c r="F40" i="2" l="1"/>
  <c r="D39" i="2"/>
  <c r="G655" i="1"/>
  <c r="J655" i="1" s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C11" i="10" s="1"/>
  <c r="L316" i="1"/>
  <c r="L317" i="1"/>
  <c r="L319" i="1"/>
  <c r="L320" i="1"/>
  <c r="L321" i="1"/>
  <c r="E120" i="2" s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C29" i="10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C26" i="10" s="1"/>
  <c r="L350" i="1"/>
  <c r="I665" i="1"/>
  <c r="I670" i="1"/>
  <c r="G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L270" i="1" s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D115" i="2"/>
  <c r="F115" i="2"/>
  <c r="G115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J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G338" i="1" s="1"/>
  <c r="G352" i="1" s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I452" i="1"/>
  <c r="F460" i="1"/>
  <c r="G460" i="1"/>
  <c r="H460" i="1"/>
  <c r="F461" i="1"/>
  <c r="H639" i="1" s="1"/>
  <c r="G461" i="1"/>
  <c r="H461" i="1"/>
  <c r="F470" i="1"/>
  <c r="F476" i="1" s="1"/>
  <c r="H622" i="1" s="1"/>
  <c r="G470" i="1"/>
  <c r="H470" i="1"/>
  <c r="I470" i="1"/>
  <c r="I476" i="1" s="1"/>
  <c r="H625" i="1" s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K571" i="1" s="1"/>
  <c r="L567" i="1"/>
  <c r="L568" i="1"/>
  <c r="L569" i="1"/>
  <c r="F570" i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H640" i="1"/>
  <c r="G641" i="1"/>
  <c r="H641" i="1"/>
  <c r="J641" i="1" s="1"/>
  <c r="G643" i="1"/>
  <c r="H643" i="1"/>
  <c r="J643" i="1" s="1"/>
  <c r="G644" i="1"/>
  <c r="G650" i="1"/>
  <c r="G652" i="1"/>
  <c r="H652" i="1"/>
  <c r="G653" i="1"/>
  <c r="H653" i="1"/>
  <c r="G654" i="1"/>
  <c r="H654" i="1"/>
  <c r="H655" i="1"/>
  <c r="F192" i="1"/>
  <c r="A31" i="12"/>
  <c r="D62" i="2"/>
  <c r="D63" i="2" s="1"/>
  <c r="C91" i="2"/>
  <c r="F78" i="2"/>
  <c r="D50" i="2"/>
  <c r="G161" i="2"/>
  <c r="D91" i="2"/>
  <c r="G62" i="2"/>
  <c r="D19" i="13"/>
  <c r="C19" i="13" s="1"/>
  <c r="E78" i="2"/>
  <c r="L419" i="1"/>
  <c r="I169" i="1"/>
  <c r="J476" i="1"/>
  <c r="H626" i="1" s="1"/>
  <c r="J140" i="1"/>
  <c r="G22" i="2"/>
  <c r="H140" i="1"/>
  <c r="F22" i="13"/>
  <c r="C22" i="13" s="1"/>
  <c r="J640" i="1"/>
  <c r="H192" i="1"/>
  <c r="L570" i="1"/>
  <c r="G36" i="2"/>
  <c r="L565" i="1" l="1"/>
  <c r="F571" i="1"/>
  <c r="L560" i="1"/>
  <c r="K545" i="1"/>
  <c r="K551" i="1"/>
  <c r="H552" i="1"/>
  <c r="H545" i="1"/>
  <c r="G545" i="1"/>
  <c r="L534" i="1"/>
  <c r="G552" i="1"/>
  <c r="J545" i="1"/>
  <c r="F552" i="1"/>
  <c r="I545" i="1"/>
  <c r="K549" i="1"/>
  <c r="L524" i="1"/>
  <c r="E62" i="2"/>
  <c r="E63" i="2" s="1"/>
  <c r="H476" i="1"/>
  <c r="H624" i="1" s="1"/>
  <c r="J624" i="1"/>
  <c r="K550" i="1"/>
  <c r="L544" i="1"/>
  <c r="J651" i="1"/>
  <c r="K598" i="1"/>
  <c r="G647" i="1" s="1"/>
  <c r="H338" i="1"/>
  <c r="H352" i="1" s="1"/>
  <c r="E119" i="2"/>
  <c r="E118" i="2"/>
  <c r="E128" i="2" s="1"/>
  <c r="L309" i="1"/>
  <c r="L328" i="1"/>
  <c r="F338" i="1"/>
  <c r="F352" i="1" s="1"/>
  <c r="E110" i="2"/>
  <c r="G476" i="1"/>
  <c r="H623" i="1" s="1"/>
  <c r="J623" i="1" s="1"/>
  <c r="J634" i="1"/>
  <c r="G661" i="1"/>
  <c r="D29" i="13"/>
  <c r="C29" i="13" s="1"/>
  <c r="L362" i="1"/>
  <c r="G635" i="1" s="1"/>
  <c r="J635" i="1" s="1"/>
  <c r="H661" i="1"/>
  <c r="H662" i="1"/>
  <c r="C123" i="2"/>
  <c r="C121" i="2"/>
  <c r="C12" i="10"/>
  <c r="L247" i="1"/>
  <c r="C21" i="10"/>
  <c r="K257" i="1"/>
  <c r="K271" i="1" s="1"/>
  <c r="C16" i="10"/>
  <c r="C118" i="2"/>
  <c r="C112" i="2"/>
  <c r="J257" i="1"/>
  <c r="J271" i="1" s="1"/>
  <c r="H257" i="1"/>
  <c r="H271" i="1" s="1"/>
  <c r="G257" i="1"/>
  <c r="G271" i="1" s="1"/>
  <c r="C110" i="2"/>
  <c r="I257" i="1"/>
  <c r="I271" i="1" s="1"/>
  <c r="F257" i="1"/>
  <c r="F271" i="1" s="1"/>
  <c r="L229" i="1"/>
  <c r="D14" i="13"/>
  <c r="C14" i="13" s="1"/>
  <c r="C18" i="10"/>
  <c r="C17" i="10"/>
  <c r="C119" i="2"/>
  <c r="D7" i="13"/>
  <c r="C7" i="13" s="1"/>
  <c r="C13" i="10"/>
  <c r="A40" i="12"/>
  <c r="L211" i="1"/>
  <c r="D5" i="13"/>
  <c r="C5" i="13" s="1"/>
  <c r="C109" i="2"/>
  <c r="A13" i="12"/>
  <c r="C10" i="10"/>
  <c r="G645" i="1"/>
  <c r="J645" i="1" s="1"/>
  <c r="I460" i="1"/>
  <c r="I461" i="1" s="1"/>
  <c r="H642" i="1" s="1"/>
  <c r="J639" i="1"/>
  <c r="I446" i="1"/>
  <c r="G642" i="1" s="1"/>
  <c r="J642" i="1" s="1"/>
  <c r="L393" i="1"/>
  <c r="C138" i="2" s="1"/>
  <c r="F112" i="1"/>
  <c r="H52" i="1"/>
  <c r="H619" i="1" s="1"/>
  <c r="J619" i="1" s="1"/>
  <c r="E31" i="2"/>
  <c r="D31" i="2"/>
  <c r="J622" i="1"/>
  <c r="C18" i="2"/>
  <c r="C16" i="13"/>
  <c r="J625" i="1"/>
  <c r="E13" i="13"/>
  <c r="C13" i="13" s="1"/>
  <c r="E8" i="13"/>
  <c r="C8" i="13" s="1"/>
  <c r="D12" i="13"/>
  <c r="C12" i="13" s="1"/>
  <c r="L290" i="1"/>
  <c r="L539" i="1"/>
  <c r="K503" i="1"/>
  <c r="L382" i="1"/>
  <c r="G636" i="1" s="1"/>
  <c r="J636" i="1" s="1"/>
  <c r="K352" i="1"/>
  <c r="E109" i="2"/>
  <c r="C62" i="2"/>
  <c r="F661" i="1"/>
  <c r="C19" i="10"/>
  <c r="C15" i="10"/>
  <c r="G112" i="1"/>
  <c r="C81" i="2"/>
  <c r="D6" i="13"/>
  <c r="C6" i="13" s="1"/>
  <c r="D15" i="13"/>
  <c r="C15" i="13" s="1"/>
  <c r="G649" i="1"/>
  <c r="J649" i="1" s="1"/>
  <c r="J338" i="1"/>
  <c r="J352" i="1" s="1"/>
  <c r="E130" i="2"/>
  <c r="D127" i="2"/>
  <c r="D128" i="2" s="1"/>
  <c r="D145" i="2" s="1"/>
  <c r="C124" i="2"/>
  <c r="C120" i="2"/>
  <c r="C111" i="2"/>
  <c r="C56" i="2"/>
  <c r="F662" i="1"/>
  <c r="I662" i="1" s="1"/>
  <c r="C35" i="10"/>
  <c r="I552" i="1"/>
  <c r="H25" i="13"/>
  <c r="E81" i="2"/>
  <c r="F81" i="2"/>
  <c r="L351" i="1"/>
  <c r="H647" i="1"/>
  <c r="J647" i="1" s="1"/>
  <c r="G625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C27" i="10"/>
  <c r="L571" i="1" l="1"/>
  <c r="K552" i="1"/>
  <c r="E104" i="2"/>
  <c r="L545" i="1"/>
  <c r="G660" i="1"/>
  <c r="G664" i="1" s="1"/>
  <c r="G667" i="1" s="1"/>
  <c r="L338" i="1"/>
  <c r="L352" i="1" s="1"/>
  <c r="G633" i="1" s="1"/>
  <c r="J633" i="1" s="1"/>
  <c r="E115" i="2"/>
  <c r="E145" i="2" s="1"/>
  <c r="H660" i="1"/>
  <c r="H664" i="1" s="1"/>
  <c r="H667" i="1" s="1"/>
  <c r="I661" i="1"/>
  <c r="L257" i="1"/>
  <c r="L271" i="1" s="1"/>
  <c r="G632" i="1" s="1"/>
  <c r="J632" i="1" s="1"/>
  <c r="C128" i="2"/>
  <c r="C28" i="10"/>
  <c r="D22" i="10" s="1"/>
  <c r="F660" i="1"/>
  <c r="C115" i="2"/>
  <c r="C141" i="2"/>
  <c r="C144" i="2" s="1"/>
  <c r="F193" i="1"/>
  <c r="G627" i="1" s="1"/>
  <c r="J627" i="1" s="1"/>
  <c r="L408" i="1"/>
  <c r="C63" i="2"/>
  <c r="C104" i="2" s="1"/>
  <c r="E33" i="13"/>
  <c r="D35" i="13" s="1"/>
  <c r="C25" i="13"/>
  <c r="H33" i="13"/>
  <c r="D31" i="13"/>
  <c r="C31" i="13" s="1"/>
  <c r="H648" i="1"/>
  <c r="J648" i="1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I660" i="1"/>
  <c r="I664" i="1" s="1"/>
  <c r="I672" i="1" s="1"/>
  <c r="C7" i="10" s="1"/>
  <c r="D33" i="13"/>
  <c r="D36" i="13" s="1"/>
  <c r="H672" i="1"/>
  <c r="C6" i="10" s="1"/>
  <c r="D23" i="10"/>
  <c r="D15" i="10"/>
  <c r="D17" i="10"/>
  <c r="D10" i="10"/>
  <c r="D12" i="10"/>
  <c r="D20" i="10"/>
  <c r="D16" i="10"/>
  <c r="D18" i="10"/>
  <c r="C30" i="10"/>
  <c r="D19" i="10"/>
  <c r="D27" i="10"/>
  <c r="D26" i="10"/>
  <c r="D25" i="10"/>
  <c r="D24" i="10"/>
  <c r="D13" i="10"/>
  <c r="D11" i="10"/>
  <c r="D21" i="10"/>
  <c r="F664" i="1"/>
  <c r="F672" i="1" s="1"/>
  <c r="C4" i="10" s="1"/>
  <c r="C145" i="2"/>
  <c r="G637" i="1"/>
  <c r="J637" i="1" s="1"/>
  <c r="H646" i="1"/>
  <c r="J646" i="1" s="1"/>
  <c r="C41" i="10"/>
  <c r="D38" i="10" s="1"/>
  <c r="I667" i="1" l="1"/>
  <c r="D28" i="10"/>
  <c r="F667" i="1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<sst xmlns="http://schemas.openxmlformats.org/spreadsheetml/2006/main" count="3959" uniqueCount="917">
  <si>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</si>
  <si>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</si>
  <si>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</si>
  <si>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</si>
  <si>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</si>
  <si>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</si>
  <si>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</si>
  <si>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</si>
  <si>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</si>
  <si>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</si>
  <si>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</si>
  <si>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</si>
  <si>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</si>
  <si>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</si>
  <si>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</si>
  <si>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</si>
  <si>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</si>
  <si>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</si>
  <si>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</si>
  <si>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</si>
  <si>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</si>
  <si>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</si>
  <si>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</si>
  <si>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</si>
  <si>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</si>
  <si>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</si>
  <si>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</si>
  <si>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</si>
  <si>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</si>
  <si>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</si>
  <si>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</si>
  <si>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</si>
  <si>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</si>
  <si>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</si>
  <si>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</si>
  <si>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</si>
  <si>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</si>
  <si>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</si>
  <si>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</si>
  <si>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</si>
  <si>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</si>
  <si>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</si>
  <si>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</si>
  <si>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</si>
  <si>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</si>
  <si>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</si>
  <si>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</si>
  <si>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</si>
  <si>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</si>
  <si>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</si>
  <si>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</si>
  <si>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</si>
  <si>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</si>
  <si>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</si>
  <si>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</si>
  <si>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</si>
  <si>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</si>
  <si>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</si>
  <si>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</si>
  <si>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</si>
  <si>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</si>
  <si>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</si>
  <si>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</si>
  <si>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</si>
  <si>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</si>
  <si>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</si>
  <si>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</si>
  <si>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</si>
  <si>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</si>
  <si>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</si>
  <si>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</si>
  <si>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</si>
  <si>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</si>
  <si>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</si>
  <si>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</si>
  <si>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</si>
  <si>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</si>
  <si>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</si>
  <si>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</si>
  <si>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</si>
  <si>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</si>
  <si>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</si>
  <si>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</si>
  <si>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</si>
  <si>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</si>
  <si>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</si>
  <si>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</si>
  <si>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</si>
  <si>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</si>
  <si>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</si>
  <si>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</si>
  <si>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</si>
  <si>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</si>
  <si>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</si>
  <si>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</si>
  <si>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</si>
  <si>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</si>
  <si>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</si>
  <si>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</si>
  <si>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</si>
  <si>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</si>
  <si>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</si>
  <si>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</si>
  <si>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</si>
  <si>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</si>
  <si>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</si>
  <si>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</si>
  <si>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</si>
  <si>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</si>
  <si>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</si>
  <si>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</si>
  <si>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</si>
  <si>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</si>
  <si>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</si>
  <si>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</si>
  <si>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</si>
  <si>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</si>
  <si>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</si>
  <si>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</si>
  <si>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</si>
  <si>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</si>
  <si>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</si>
  <si>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</si>
  <si>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</si>
  <si>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</si>
  <si>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</si>
  <si>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</si>
  <si>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</si>
  <si>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</si>
  <si>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</si>
  <si>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</si>
  <si>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</si>
  <si>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</si>
  <si>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</si>
  <si>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</si>
  <si>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</si>
  <si>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</si>
  <si>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</si>
  <si>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</si>
  <si>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</si>
  <si>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</si>
  <si>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</si>
  <si>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</si>
  <si>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</si>
  <si>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</si>
  <si>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</si>
  <si>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</si>
  <si>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</si>
  <si>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</si>
  <si>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</si>
  <si>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</si>
  <si>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</si>
  <si>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</si>
  <si>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</si>
  <si>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</si>
  <si>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</si>
  <si>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</si>
  <si>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</si>
  <si>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</si>
  <si>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</si>
  <si>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</si>
  <si>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</si>
  <si>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</si>
  <si>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</si>
  <si>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</si>
  <si>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</si>
  <si>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</si>
  <si>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</si>
  <si>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</si>
  <si>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</si>
  <si>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</si>
  <si>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</si>
  <si>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</si>
  <si>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</si>
  <si>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</si>
  <si>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</si>
  <si>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</si>
  <si>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</si>
  <si>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</si>
  <si>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</si>
  <si>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</si>
  <si>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</si>
  <si>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</si>
  <si>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</si>
  <si>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</si>
  <si>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</si>
  <si>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</si>
  <si>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</si>
  <si>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</si>
  <si>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</si>
  <si>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</si>
  <si>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</si>
  <si>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</si>
  <si>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</si>
  <si>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</si>
  <si>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</si>
  <si>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</si>
  <si>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</si>
  <si>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</si>
  <si>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</si>
  <si>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</si>
  <si>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</si>
  <si>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</si>
  <si>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</si>
  <si>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</si>
  <si>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</si>
  <si>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</si>
  <si>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</si>
  <si>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</si>
  <si>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</si>
  <si>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</si>
  <si>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</si>
  <si>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</si>
  <si>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</si>
  <si>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</si>
  <si>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</si>
  <si>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</si>
  <si>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</si>
  <si>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</si>
  <si>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</si>
  <si>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</si>
  <si>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</si>
  <si>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</si>
  <si>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</si>
  <si>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</si>
  <si>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</si>
  <si>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</si>
  <si>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</si>
  <si>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</si>
  <si>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</si>
  <si>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</si>
  <si>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</si>
  <si>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</si>
  <si>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</si>
  <si>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</si>
  <si>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</si>
  <si>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</si>
  <si>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</si>
  <si>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</si>
  <si>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</si>
  <si>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</si>
  <si>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</si>
  <si>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</si>
  <si>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</si>
  <si>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</si>
  <si>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</si>
  <si>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</si>
  <si>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</si>
  <si>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</si>
  <si>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</si>
  <si>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</si>
  <si>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</si>
  <si>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</si>
  <si>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</si>
  <si>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</si>
  <si>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</si>
  <si>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</si>
  <si>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</si>
  <si>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</si>
  <si>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</si>
  <si>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</si>
  <si>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</si>
  <si>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</si>
  <si>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</si>
  <si>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</si>
  <si>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</si>
  <si>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</si>
  <si>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</si>
  <si>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</si>
  <si>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</si>
  <si>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</si>
  <si>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</si>
  <si>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</si>
  <si>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</si>
  <si>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</si>
  <si>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</si>
  <si>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</si>
  <si>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</si>
  <si>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</si>
  <si>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</si>
  <si>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</si>
  <si>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</si>
  <si>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</si>
  <si>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</si>
  <si>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</si>
  <si>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</si>
  <si>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</si>
  <si>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</si>
  <si>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</si>
  <si>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</si>
  <si>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</si>
  <si>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</si>
  <si>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</si>
  <si>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</si>
  <si>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</si>
  <si>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</si>
  <si>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</si>
  <si>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</si>
  <si>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</si>
  <si>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</si>
  <si>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</si>
  <si>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</si>
  <si>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</si>
  <si>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</si>
  <si>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</si>
  <si>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</si>
  <si>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</si>
  <si>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</si>
  <si>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</si>
  <si>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</si>
  <si>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</si>
  <si>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</si>
  <si>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</si>
  <si>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</si>
  <si>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</si>
  <si>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</si>
  <si>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</si>
  <si>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</si>
  <si>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</si>
  <si>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</si>
  <si>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</si>
  <si>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</si>
  <si>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</si>
  <si>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</si>
  <si>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</si>
  <si>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</si>
  <si>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</si>
  <si>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</si>
  <si>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</si>
  <si>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</si>
  <si>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</si>
  <si>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</si>
  <si>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</si>
  <si>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</si>
  <si>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</si>
  <si>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</si>
  <si>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</si>
  <si>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</si>
  <si>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</si>
  <si>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</si>
  <si>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</si>
  <si>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</si>
  <si>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</si>
  <si>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</si>
  <si>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</si>
  <si>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</si>
  <si>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</si>
  <si>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</si>
  <si>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</si>
  <si>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</si>
  <si>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</si>
  <si>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</si>
  <si>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</si>
  <si>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</si>
  <si>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</si>
  <si>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</si>
  <si>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</si>
  <si>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</si>
  <si>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</si>
  <si>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</si>
  <si>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</si>
  <si>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</si>
  <si>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</si>
  <si>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</si>
  <si>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</si>
  <si>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</si>
  <si>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</si>
  <si>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</si>
  <si>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</si>
  <si>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</si>
  <si>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</si>
  <si>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</si>
  <si>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</si>
  <si>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</si>
  <si>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</si>
  <si>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</si>
  <si>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</si>
  <si>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</si>
  <si>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</si>
  <si>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</si>
  <si>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</si>
  <si>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</si>
  <si>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</si>
  <si>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</si>
  <si>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</si>
  <si>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</si>
  <si>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</si>
  <si>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</si>
  <si>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</si>
  <si>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</si>
  <si>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</si>
  <si>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</si>
  <si>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</si>
  <si>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</si>
  <si>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</si>
  <si>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</si>
  <si>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</si>
  <si>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</si>
  <si>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</si>
  <si>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</si>
  <si>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</si>
  <si>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</si>
  <si>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</si>
  <si>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</si>
  <si>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</si>
  <si>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</si>
  <si>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</si>
  <si>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</si>
  <si>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</si>
  <si>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</si>
  <si>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</si>
  <si>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</si>
  <si>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</si>
  <si>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</si>
  <si>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</si>
  <si>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</si>
  <si>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</si>
  <si>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</si>
  <si>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</si>
  <si>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</si>
  <si>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</si>
  <si>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</si>
  <si>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</si>
  <si>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</si>
  <si>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</si>
  <si>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</si>
  <si>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</si>
  <si>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</si>
  <si>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</si>
  <si>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</si>
  <si>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</si>
  <si>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</si>
  <si>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</si>
  <si>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</si>
  <si>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</si>
  <si>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</si>
  <si>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</si>
  <si>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</si>
  <si>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</si>
  <si>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</si>
  <si>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</si>
  <si>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</si>
  <si>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</si>
  <si>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</si>
  <si>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</si>
  <si>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</si>
  <si>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</si>
  <si>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</si>
  <si>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</si>
  <si>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</si>
  <si>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</si>
  <si>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</si>
  <si>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</si>
  <si>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</si>
  <si>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</si>
  <si>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</si>
  <si>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</si>
  <si>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</si>
  <si>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</si>
  <si>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</si>
  <si>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</si>
  <si>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</si>
  <si>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</si>
  <si>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</si>
  <si>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</si>
  <si>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</si>
  <si>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</si>
  <si>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</si>
  <si>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</si>
  <si>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</si>
  <si>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</si>
  <si>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</si>
  <si>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</si>
  <si>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</si>
  <si>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</si>
  <si>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</si>
  <si>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</si>
  <si>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</si>
  <si>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</si>
  <si>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</si>
  <si>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</si>
  <si>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</si>
  <si>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</si>
  <si>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</si>
  <si>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</si>
  <si>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</si>
  <si>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</si>
  <si>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</si>
  <si>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</si>
  <si>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</si>
  <si>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</si>
  <si>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</si>
  <si>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</si>
  <si>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</si>
  <si>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</si>
  <si>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</si>
  <si>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</si>
  <si>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</si>
  <si>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</si>
  <si>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</si>
  <si>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</si>
  <si>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</si>
  <si>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</si>
  <si>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</si>
  <si>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</si>
  <si>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</si>
  <si>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</si>
  <si>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</si>
  <si>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</si>
  <si>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</si>
  <si>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</si>
  <si>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</si>
  <si>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</si>
  <si>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</si>
  <si>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</si>
  <si>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</si>
  <si>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</si>
  <si>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</si>
  <si>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</si>
  <si>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</si>
  <si>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</si>
  <si>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</si>
  <si>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</si>
  <si>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</si>
  <si>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</si>
  <si>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</si>
  <si>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</si>
  <si>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</si>
  <si>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</si>
  <si>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</si>
  <si>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</si>
  <si>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</si>
  <si>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</si>
  <si>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</si>
  <si>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</si>
  <si>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</si>
  <si>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</si>
  <si>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</si>
  <si>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</si>
  <si>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</si>
  <si>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</si>
  <si>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</si>
  <si>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</si>
  <si>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</si>
  <si>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</si>
  <si>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</si>
  <si>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</si>
  <si>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</si>
  <si>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</si>
  <si>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</si>
  <si>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</si>
  <si>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</si>
  <si>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</si>
  <si>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</si>
  <si>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</si>
  <si>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</si>
  <si>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</si>
  <si>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</si>
  <si>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</si>
  <si>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</si>
  <si>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</si>
  <si>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</si>
  <si>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</si>
  <si>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</si>
  <si>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</si>
  <si>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</si>
  <si>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</si>
  <si>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</si>
  <si>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</si>
  <si>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</si>
  <si>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</si>
  <si>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</si>
  <si>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</si>
  <si>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</si>
  <si>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</si>
  <si>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</si>
  <si>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</si>
  <si>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</si>
  <si>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</si>
  <si>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</si>
  <si>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</si>
  <si>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</si>
  <si>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</si>
  <si>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</si>
  <si>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</si>
  <si>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</si>
  <si>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</si>
  <si>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</si>
  <si>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</si>
  <si>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</si>
  <si>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</si>
  <si>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</si>
  <si>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</si>
  <si>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</si>
  <si>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</si>
  <si>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</si>
  <si>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</si>
  <si>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</si>
  <si>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</si>
  <si>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</si>
  <si>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</si>
  <si>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</si>
  <si>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</si>
  <si>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</si>
  <si>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</si>
  <si>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</si>
  <si>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</si>
  <si>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</si>
  <si>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</si>
  <si>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</si>
  <si>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</si>
  <si>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</si>
  <si>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</si>
  <si>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</si>
  <si>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</si>
  <si>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</si>
  <si>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</si>
  <si>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</si>
  <si>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</si>
  <si>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</si>
  <si>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</si>
  <si>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</si>
  <si>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</si>
  <si>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</si>
  <si>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</si>
  <si>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</si>
  <si>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</si>
  <si>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</si>
  <si>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</si>
  <si>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</si>
  <si>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</si>
  <si>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</si>
  <si>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</si>
  <si>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</si>
  <si>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</si>
  <si>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</si>
  <si>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</si>
  <si>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</si>
  <si>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</si>
  <si>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</si>
  <si>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</si>
  <si>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</si>
  <si>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</si>
  <si>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</si>
  <si>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</si>
  <si>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</si>
  <si>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</si>
  <si>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</si>
  <si>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</si>
  <si>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</si>
  <si>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</si>
  <si>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</si>
  <si>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</si>
  <si>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</si>
  <si>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</si>
  <si>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</si>
  <si>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</si>
  <si>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</si>
  <si>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</si>
  <si>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</si>
  <si>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</si>
  <si>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</si>
  <si>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</si>
  <si>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</si>
  <si>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</si>
  <si>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</si>
  <si>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</si>
  <si>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</si>
  <si>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</si>
  <si>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</si>
  <si>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</si>
  <si>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</si>
  <si>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</si>
  <si>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</si>
  <si>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</si>
  <si>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</si>
  <si>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</si>
  <si>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</si>
  <si>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</si>
  <si>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</si>
  <si>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</si>
  <si>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</si>
  <si>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</si>
  <si>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</si>
  <si>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</si>
  <si>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</si>
  <si>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</si>
  <si>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</si>
  <si>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</si>
  <si>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</si>
  <si>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</si>
  <si>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</si>
  <si>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</si>
  <si>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</si>
  <si>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</si>
  <si>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</si>
  <si>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</si>
  <si>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</si>
  <si>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</si>
  <si>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</si>
  <si>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</si>
  <si>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</si>
  <si>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</si>
  <si>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</si>
  <si>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</si>
  <si>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</si>
  <si>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</si>
  <si>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</si>
  <si>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</si>
  <si>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</si>
  <si>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</si>
  <si>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</si>
  <si>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</si>
  <si>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</si>
  <si>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</si>
  <si>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</si>
  <si>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</si>
  <si>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</si>
  <si>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</si>
  <si>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</si>
  <si>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</si>
  <si>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</si>
  <si>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</si>
  <si>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</si>
  <si>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</si>
  <si>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</si>
  <si>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</si>
  <si>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</si>
  <si>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</si>
  <si>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</si>
  <si>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</si>
  <si>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</si>
  <si>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</si>
  <si>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</si>
  <si>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</si>
  <si>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</si>
  <si>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</si>
  <si>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</si>
  <si>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</si>
  <si>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</si>
  <si>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</si>
  <si>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</si>
  <si>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</si>
  <si>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</si>
  <si>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</si>
  <si>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</si>
  <si>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</si>
  <si>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</si>
  <si>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</si>
  <si>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</si>
  <si>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</si>
  <si>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</si>
  <si>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</si>
  <si>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</si>
  <si>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</si>
  <si>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</si>
  <si>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</si>
  <si>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</si>
  <si>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</si>
  <si>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</si>
  <si>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</si>
  <si>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</si>
  <si>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</si>
  <si>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</si>
  <si>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</si>
  <si>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</si>
  <si>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</si>
  <si>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</si>
  <si>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</si>
  <si>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</si>
  <si>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</si>
  <si>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</si>
  <si>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</si>
  <si>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</si>
  <si>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</si>
  <si>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</si>
  <si>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</si>
  <si>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</si>
  <si>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</si>
  <si>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</si>
  <si>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</si>
  <si>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</si>
  <si>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</si>
  <si>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</si>
  <si>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</si>
  <si>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</si>
  <si>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</si>
  <si>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</si>
  <si>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</si>
  <si>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</si>
  <si>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</si>
  <si>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</si>
  <si>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</si>
  <si>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</si>
  <si>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</si>
  <si>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</si>
  <si>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</si>
  <si>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</si>
  <si>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</si>
  <si>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</si>
  <si>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</si>
  <si>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</si>
  <si>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</si>
  <si>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</si>
  <si>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</si>
  <si>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</si>
  <si>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</si>
  <si>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</si>
  <si>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</si>
  <si>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</si>
  <si>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</si>
  <si>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</si>
  <si>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</si>
  <si>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</si>
  <si>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</si>
  <si>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</si>
  <si>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</si>
  <si>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</si>
  <si>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</si>
  <si>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</si>
  <si>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</si>
  <si>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</si>
  <si>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</si>
  <si>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</si>
  <si>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</si>
  <si>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</si>
  <si>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</si>
  <si>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</si>
  <si>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</si>
  <si>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</si>
  <si>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</si>
  <si>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</si>
  <si>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</si>
  <si>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</si>
  <si>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</si>
  <si>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</si>
  <si>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</si>
  <si>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</si>
  <si>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</si>
  <si>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</si>
  <si>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</si>
  <si>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</si>
  <si>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</si>
  <si>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</si>
  <si>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</si>
  <si>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</si>
  <si>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</si>
  <si>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</si>
  <si>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</si>
  <si>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</si>
  <si>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</si>
  <si>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</si>
  <si>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</si>
  <si>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</si>
  <si>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</si>
  <si>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</si>
  <si>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</si>
  <si>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</si>
  <si>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</si>
  <si>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</si>
  <si>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</si>
  <si>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</si>
  <si>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</si>
  <si>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</si>
  <si>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</si>
  <si>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</si>
  <si>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</si>
  <si>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</si>
  <si>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</si>
  <si>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</si>
  <si>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</si>
  <si>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</si>
  <si>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</si>
  <si>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</si>
  <si>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</si>
  <si>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</si>
  <si>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</si>
  <si>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</si>
  <si>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</si>
  <si>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</si>
  <si>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</si>
  <si>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</si>
  <si>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</si>
  <si>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</si>
  <si>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</si>
  <si>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</si>
  <si>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</si>
  <si>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</si>
  <si>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</si>
  <si>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</si>
  <si>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</si>
  <si>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</si>
  <si>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</si>
  <si>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</si>
  <si>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</si>
  <si>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</si>
  <si>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</si>
  <si>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</si>
  <si>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</si>
  <si>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</si>
  <si>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</si>
  <si>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</si>
  <si>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</si>
  <si>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</si>
  <si>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</si>
  <si>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</si>
  <si>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</si>
  <si>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</si>
  <si>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</si>
  <si>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</si>
  <si>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</si>
  <si>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08/15/2005</t>
  </si>
  <si>
    <t>08/15/2025</t>
  </si>
  <si>
    <t>Write-off A/P not paid 2013-14</t>
  </si>
  <si>
    <t>Epping School District</t>
  </si>
  <si>
    <t>Encumbrance 2013-2014 Expended</t>
  </si>
  <si>
    <t xml:space="preserve">Impact fees towards capital improvments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</si>
</sst>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165</v>
      </c>
      <c r="C2" s="21">
        <v>165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615248.14+200</f>
        <v>615448.14</v>
      </c>
      <c r="G9" s="18">
        <v>170556.01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100205.35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247103.04</v>
      </c>
      <c r="G12" s="18"/>
      <c r="H12" s="18">
        <v>3590.06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24783.95</v>
      </c>
      <c r="G13" s="18">
        <v>1139.8900000000001</v>
      </c>
      <c r="H13" s="18">
        <v>135329.18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10775.46</v>
      </c>
      <c r="G14" s="18">
        <v>16854.84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115533.84</v>
      </c>
      <c r="G17" s="18">
        <v>1384</v>
      </c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1013644.4299999999</v>
      </c>
      <c r="G19" s="41">
        <f>SUM(G9:G18)</f>
        <v>189934.74000000002</v>
      </c>
      <c r="H19" s="41">
        <f>SUM(H9:H18)</f>
        <v>138919.24</v>
      </c>
      <c r="I19" s="41">
        <f>SUM(I9:I18)</f>
        <v>0</v>
      </c>
      <c r="J19" s="41">
        <f>SUM(J9:J18)</f>
        <v>100205.35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3590.06</v>
      </c>
      <c r="G22" s="18">
        <v>121199.21</v>
      </c>
      <c r="H22" s="18">
        <v>125903.83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208644.73</v>
      </c>
      <c r="G24" s="18"/>
      <c r="H24" s="18">
        <f>4669.45-300</f>
        <v>4369.45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92262.14+316644.05+16593.1-1209.63+7315.09+4225.31+681.09</f>
        <v>436511.15</v>
      </c>
      <c r="G28" s="18">
        <f>4787.08+361.84+199.69</f>
        <v>5348.61</v>
      </c>
      <c r="H28" s="18">
        <f>5055.9</f>
        <v>5055.8999999999996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7420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656165.94000000006</v>
      </c>
      <c r="G32" s="41">
        <f>SUM(G22:G31)</f>
        <v>126547.82</v>
      </c>
      <c r="H32" s="41">
        <f>SUM(H22:H31)</f>
        <v>135329.18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170497.49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67974.96-4588.04</f>
        <v>63386.920000000006</v>
      </c>
      <c r="H48" s="18">
        <v>3590.06</v>
      </c>
      <c r="I48" s="18"/>
      <c r="J48" s="13">
        <f>SUM(I459)</f>
        <v>100205.35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136981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357478.49</v>
      </c>
      <c r="G51" s="41">
        <f>SUM(G35:G50)</f>
        <v>63386.920000000006</v>
      </c>
      <c r="H51" s="41">
        <f>SUM(H35:H50)</f>
        <v>3590.06</v>
      </c>
      <c r="I51" s="41">
        <f>SUM(I35:I50)</f>
        <v>0</v>
      </c>
      <c r="J51" s="41">
        <f>SUM(J35:J50)</f>
        <v>100205.35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1013644.43</v>
      </c>
      <c r="G52" s="41">
        <f>G51+G32</f>
        <v>189934.74000000002</v>
      </c>
      <c r="H52" s="41">
        <f>H51+H32</f>
        <v>138919.24</v>
      </c>
      <c r="I52" s="41">
        <f>I51+I32</f>
        <v>0</v>
      </c>
      <c r="J52" s="41">
        <f>J51+J32</f>
        <v>100205.35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10825639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10825639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108217.17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1175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109392.17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139.07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71220.11+80452.34+3671.6+4405.5+4487.92+48472.61</f>
        <v>212710.08000000002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10587.31+90000+180812.41</f>
        <v>281399.71999999997</v>
      </c>
      <c r="G110" s="18"/>
      <c r="H110" s="18">
        <v>11785.95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281399.71999999997</v>
      </c>
      <c r="G111" s="41">
        <f>SUM(G96:G110)</f>
        <v>212710.08000000002</v>
      </c>
      <c r="H111" s="41">
        <f>SUM(H96:H110)</f>
        <v>11785.95</v>
      </c>
      <c r="I111" s="41">
        <f>SUM(I96:I110)</f>
        <v>0</v>
      </c>
      <c r="J111" s="41">
        <f>SUM(J96:J110)</f>
        <v>139.07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11216430.890000001</v>
      </c>
      <c r="G112" s="41">
        <f>G60+G111</f>
        <v>212710.08000000002</v>
      </c>
      <c r="H112" s="41">
        <f>H60+H79+H94+H111</f>
        <v>11785.95</v>
      </c>
      <c r="I112" s="41">
        <f>I60+I111</f>
        <v>0</v>
      </c>
      <c r="J112" s="41">
        <f>J60+J111</f>
        <v>139.07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3376041.83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1479802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4855843.83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231874.6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127078.39999999999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10464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4560.86+631.35</f>
        <v>5192.21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3825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369417</v>
      </c>
      <c r="G136" s="41">
        <f>SUM(G123:G135)</f>
        <v>5192.21</v>
      </c>
      <c r="H136" s="41">
        <f>SUM(H123:H135)</f>
        <v>3825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5225260.83</v>
      </c>
      <c r="G140" s="41">
        <f>G121+SUM(G136:G137)</f>
        <v>5192.21</v>
      </c>
      <c r="H140" s="41">
        <f>H121+SUM(H136:H139)</f>
        <v>3825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146057.03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50638.72+21441.87</f>
        <v>72080.59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120861.26+27417.83</f>
        <v>148279.09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246259.96+6805.85</f>
        <v>253065.81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236007.54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21210.97</v>
      </c>
      <c r="H161" s="18">
        <f>54966.08+27514.4</f>
        <v>82480.48000000001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236007.54</v>
      </c>
      <c r="G162" s="41">
        <f>SUM(G150:G161)</f>
        <v>169490.06</v>
      </c>
      <c r="H162" s="41">
        <f>SUM(H150:H161)</f>
        <v>553683.91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236007.54</v>
      </c>
      <c r="G169" s="41">
        <f>G147+G162+SUM(G163:G168)</f>
        <v>169490.06</v>
      </c>
      <c r="H169" s="41">
        <f>H147+H162+SUM(H163:H168)</f>
        <v>553683.91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16677699.26</v>
      </c>
      <c r="G193" s="47">
        <f>G112+G140+G169+G192</f>
        <v>387392.35</v>
      </c>
      <c r="H193" s="47">
        <f>H112+H140+H169+H192</f>
        <v>569294.86</v>
      </c>
      <c r="I193" s="47">
        <f>I112+I140+I169+I192</f>
        <v>0</v>
      </c>
      <c r="J193" s="47">
        <f>J112+J140+J192</f>
        <v>50139.07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1718241.58+175</f>
        <v>1718416.58</v>
      </c>
      <c r="G197" s="18">
        <f>761686.72+4493.13+14.23+18541.27+18469.68+0.03</f>
        <v>803205.06</v>
      </c>
      <c r="H197" s="18">
        <v>0</v>
      </c>
      <c r="I197" s="18">
        <v>75631.73</v>
      </c>
      <c r="J197" s="18">
        <v>4000</v>
      </c>
      <c r="K197" s="18">
        <v>0</v>
      </c>
      <c r="L197" s="19">
        <f>SUM(F197:K197)</f>
        <v>2601253.37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723303.82+61655.53</f>
        <v>784959.35</v>
      </c>
      <c r="G198" s="18">
        <f>343191.84+20369.41</f>
        <v>363561.25</v>
      </c>
      <c r="H198" s="18">
        <f>2209+79888.62</f>
        <v>82097.62</v>
      </c>
      <c r="I198" s="18">
        <f>12041.1+1211.99-0.01</f>
        <v>13253.08</v>
      </c>
      <c r="J198" s="18">
        <v>512.26</v>
      </c>
      <c r="K198" s="18">
        <v>0</v>
      </c>
      <c r="L198" s="19">
        <f>SUM(F198:K198)</f>
        <v>1244383.5600000003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27438.98</v>
      </c>
      <c r="G200" s="18">
        <v>2634.42</v>
      </c>
      <c r="H200" s="18">
        <v>5064</v>
      </c>
      <c r="I200" s="18">
        <v>1162.19</v>
      </c>
      <c r="J200" s="18">
        <v>739</v>
      </c>
      <c r="K200" s="18">
        <v>0</v>
      </c>
      <c r="L200" s="19">
        <f>SUM(F200:K200)</f>
        <v>37038.590000000004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89547+82185.1+90789.05+26431.22+56304.73</f>
        <v>345257.1</v>
      </c>
      <c r="G202" s="18">
        <f>29954.79+40288.5+3490.46+49500.57+10253.47+28013.61+2129.87</f>
        <v>163631.27000000002</v>
      </c>
      <c r="H202" s="18">
        <f>150+4293.9+11918.08+5650.04+41737.45+4816.9+21794.04</f>
        <v>90360.41</v>
      </c>
      <c r="I202" s="18">
        <f>1405.62+683.63+4441.99+210.99+1244.81+2915.5</f>
        <v>10902.539999999999</v>
      </c>
      <c r="J202" s="18">
        <f>1417.61+1509.04</f>
        <v>2926.6499999999996</v>
      </c>
      <c r="K202" s="18">
        <v>0</v>
      </c>
      <c r="L202" s="19">
        <f t="shared" ref="L202:L208" si="0">SUM(F202:K202)</f>
        <v>613077.97000000009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2491+10441.42+58964+74648.5</f>
        <v>146544.91999999998</v>
      </c>
      <c r="G203" s="18">
        <f>182.06+16541.67+22082.41+34236.72</f>
        <v>73042.86</v>
      </c>
      <c r="H203" s="18">
        <f>10081.02+8306.6</f>
        <v>18387.620000000003</v>
      </c>
      <c r="I203" s="18">
        <f>7879.34+8161.22+6830.68</f>
        <v>22871.24</v>
      </c>
      <c r="J203" s="18">
        <f>40434.27</f>
        <v>40434.269999999997</v>
      </c>
      <c r="K203" s="18">
        <v>49.2</v>
      </c>
      <c r="L203" s="19">
        <f t="shared" si="0"/>
        <v>301330.11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5166+221.4+1722+147.6+738+115216.08+1771.2+42302.68+43379.15+34946.22</f>
        <v>245610.33</v>
      </c>
      <c r="G204" s="18">
        <f>609.61+33901.56+2205.13+11661.22+17137.47+20044.46+1078.88+5767.84+2234.34+6212.13+167.28+35.74+109.47</f>
        <v>101165.13</v>
      </c>
      <c r="H204" s="18">
        <f>1279.2+1977.84+706.37+2116.38+6836.34+983.08+384.31+11506.94+685.94+1245.52+1109.51+1123.66+295.2+23.03+1572.82</f>
        <v>31846.139999999996</v>
      </c>
      <c r="I204" s="18">
        <f>2235.66+43.79+4280.05+376.69+44.28+1043.04</f>
        <v>8023.5099999999993</v>
      </c>
      <c r="J204" s="18"/>
      <c r="K204" s="18">
        <f>2235.16+1453+6838.7+941.62+484.62-0.01</f>
        <v>11953.090000000002</v>
      </c>
      <c r="L204" s="19">
        <f t="shared" si="0"/>
        <v>398598.2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274889.98</v>
      </c>
      <c r="G205" s="18">
        <f>141843.17+5108.95</f>
        <v>146952.12000000002</v>
      </c>
      <c r="H205" s="18">
        <v>25525.119999999999</v>
      </c>
      <c r="I205" s="18">
        <v>2375.5300000000002</v>
      </c>
      <c r="J205" s="18"/>
      <c r="K205" s="18">
        <v>1726</v>
      </c>
      <c r="L205" s="19">
        <f t="shared" si="0"/>
        <v>451468.75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113693.56+96385.66</f>
        <v>210079.22</v>
      </c>
      <c r="G207" s="18">
        <f>92460.46+39054.48</f>
        <v>131514.94</v>
      </c>
      <c r="H207" s="18">
        <f>467.4+19680+9704.85+7080.05+9852.3+9127.82+1116.3+842.29+27560.67+5179.33+24385.03+23411.84+13207.74+1357.92+27769.46+138.19</f>
        <v>180881.19</v>
      </c>
      <c r="I207" s="18">
        <f>29111.65+99949.15+122778.42+1767.25</f>
        <v>253606.46999999997</v>
      </c>
      <c r="J207" s="18">
        <v>3318.23</v>
      </c>
      <c r="K207" s="18"/>
      <c r="L207" s="19">
        <f t="shared" si="0"/>
        <v>779400.05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193946.84</v>
      </c>
      <c r="I208" s="18"/>
      <c r="J208" s="18"/>
      <c r="K208" s="18"/>
      <c r="L208" s="19">
        <f t="shared" si="0"/>
        <v>193946.84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3753196.4600000004</v>
      </c>
      <c r="G211" s="41">
        <f t="shared" si="1"/>
        <v>1785707.0500000003</v>
      </c>
      <c r="H211" s="41">
        <f t="shared" si="1"/>
        <v>628108.93999999994</v>
      </c>
      <c r="I211" s="41">
        <f t="shared" si="1"/>
        <v>387826.29</v>
      </c>
      <c r="J211" s="41">
        <f t="shared" si="1"/>
        <v>51930.409999999996</v>
      </c>
      <c r="K211" s="41">
        <f t="shared" si="1"/>
        <v>13728.290000000003</v>
      </c>
      <c r="L211" s="41">
        <f t="shared" si="1"/>
        <v>6620497.4400000004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904729.8+650</f>
        <v>905379.8</v>
      </c>
      <c r="G215" s="18">
        <f>443835.78+52.5+40.54+2164.37+8931.46+8896.98</f>
        <v>463921.63</v>
      </c>
      <c r="H215" s="18">
        <f>2021.25+960</f>
        <v>2981.25</v>
      </c>
      <c r="I215" s="18">
        <v>33763.96</v>
      </c>
      <c r="J215" s="18">
        <v>12704.68</v>
      </c>
      <c r="K215" s="18">
        <v>0</v>
      </c>
      <c r="L215" s="19">
        <f>SUM(F215:K215)</f>
        <v>1418751.32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349157.84+29699.92</f>
        <v>378857.76</v>
      </c>
      <c r="G216" s="18">
        <f>155922.17+9812.09</f>
        <v>165734.26</v>
      </c>
      <c r="H216" s="18">
        <v>0</v>
      </c>
      <c r="I216" s="18">
        <f>2042.07+141.73</f>
        <v>2183.7999999999997</v>
      </c>
      <c r="J216" s="18">
        <v>0</v>
      </c>
      <c r="K216" s="18">
        <v>0</v>
      </c>
      <c r="L216" s="19">
        <f>SUM(F216:K216)</f>
        <v>546775.82000000007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42528.8+23378.29</f>
        <v>65907.09</v>
      </c>
      <c r="G218" s="18">
        <f>4807.87+4527.56</f>
        <v>9335.43</v>
      </c>
      <c r="H218" s="18">
        <v>6432.87</v>
      </c>
      <c r="I218" s="18">
        <v>2390.3000000000002</v>
      </c>
      <c r="J218" s="18">
        <v>1525.79</v>
      </c>
      <c r="K218" s="18">
        <v>1028.3800000000001</v>
      </c>
      <c r="L218" s="19">
        <f>SUM(F218:K218)</f>
        <v>86619.859999999986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25234+12732.11+43733.75+27122.4+26729.76+9916.48+7542.58</f>
        <v>153011.08000000002</v>
      </c>
      <c r="G220" s="18">
        <f>10828.88+4939.17+23844.79+13494.36+4253.78+260.08+2787.12+3725.92+577+430.5+1025.97</f>
        <v>66167.569999999992</v>
      </c>
      <c r="H220" s="18">
        <f>10498.35+2721.67</f>
        <v>13220.02</v>
      </c>
      <c r="I220" s="18">
        <f>2415.69+922.86+791.73+23.3</f>
        <v>4153.5800000000008</v>
      </c>
      <c r="J220" s="18">
        <f>62.44+227.87</f>
        <v>290.31</v>
      </c>
      <c r="K220" s="18"/>
      <c r="L220" s="19">
        <f t="shared" ref="L220:L226" si="2">SUM(F220:K220)</f>
        <v>236842.56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1058+5029.71+35958.73+26312.69+11892.41</f>
        <v>80251.540000000008</v>
      </c>
      <c r="G221" s="18">
        <f>164.11+7968.24+16492.08+12035.31+251.14+2730.26+1218.78+3846.83</f>
        <v>44706.75</v>
      </c>
      <c r="H221" s="18">
        <f>4001.35+4856.1+699</f>
        <v>9556.4500000000007</v>
      </c>
      <c r="I221" s="18">
        <f>5344.64+7221.71</f>
        <v>12566.35</v>
      </c>
      <c r="J221" s="18">
        <f>19477.48+1000</f>
        <v>20477.48</v>
      </c>
      <c r="K221" s="18">
        <f>23.7</f>
        <v>23.7</v>
      </c>
      <c r="L221" s="19">
        <f t="shared" si="2"/>
        <v>167582.27000000005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3851.25+76731.14+37729.9</f>
        <v>118312.29000000001</v>
      </c>
      <c r="G222" s="18">
        <f>293.65+31265.4+17120.2+52.73</f>
        <v>48731.98</v>
      </c>
      <c r="H222" s="18">
        <f>6880.47+7007.83+1452.21</f>
        <v>15340.509999999998</v>
      </c>
      <c r="I222" s="18">
        <f>3159.76+705.23</f>
        <v>3864.9900000000002</v>
      </c>
      <c r="J222" s="18">
        <f>0</f>
        <v>0</v>
      </c>
      <c r="K222" s="18">
        <f>5070.86+453.59+233.45</f>
        <v>5757.9</v>
      </c>
      <c r="L222" s="19">
        <f t="shared" si="2"/>
        <v>192007.67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196708.12</v>
      </c>
      <c r="G223" s="18">
        <f>74993.82+3336</f>
        <v>78329.820000000007</v>
      </c>
      <c r="H223" s="18">
        <v>9511.6299999999992</v>
      </c>
      <c r="I223" s="18">
        <v>3491.36</v>
      </c>
      <c r="J223" s="18">
        <v>0</v>
      </c>
      <c r="K223" s="18">
        <v>4214</v>
      </c>
      <c r="L223" s="19">
        <f t="shared" si="2"/>
        <v>292254.93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46429.68+86508.92</f>
        <v>132938.6</v>
      </c>
      <c r="G225" s="18">
        <f>18812.83+29347.35+1589.5+6224.4+7791.84</f>
        <v>63765.919999999998</v>
      </c>
      <c r="H225" s="18">
        <v>87131.79</v>
      </c>
      <c r="I225" s="18">
        <v>122164.1</v>
      </c>
      <c r="J225" s="18">
        <v>1598.41</v>
      </c>
      <c r="K225" s="18">
        <v>0</v>
      </c>
      <c r="L225" s="19">
        <f t="shared" si="2"/>
        <v>407598.82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77242.86</v>
      </c>
      <c r="I226" s="18"/>
      <c r="J226" s="18"/>
      <c r="K226" s="18"/>
      <c r="L226" s="19">
        <f t="shared" si="2"/>
        <v>77242.86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2031366.2800000003</v>
      </c>
      <c r="G229" s="41">
        <f>SUM(G215:G228)</f>
        <v>940693.36</v>
      </c>
      <c r="H229" s="41">
        <f>SUM(H215:H228)</f>
        <v>221417.38</v>
      </c>
      <c r="I229" s="41">
        <f>SUM(I215:I228)</f>
        <v>184578.44</v>
      </c>
      <c r="J229" s="41">
        <f>SUM(J215:J228)</f>
        <v>36596.670000000006</v>
      </c>
      <c r="K229" s="41">
        <f t="shared" si="3"/>
        <v>11023.98</v>
      </c>
      <c r="L229" s="41">
        <f t="shared" si="3"/>
        <v>3425676.11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1209060.59+1112.5</f>
        <v>1210173.0900000001</v>
      </c>
      <c r="G233" s="18">
        <f>590752.92+2474.87+89.69+33.34+10212.77+10173.34</f>
        <v>613736.92999999993</v>
      </c>
      <c r="H233" s="18">
        <f>4729.96+790</f>
        <v>5519.96</v>
      </c>
      <c r="I233" s="18">
        <v>42879.3</v>
      </c>
      <c r="J233" s="18">
        <v>4096.8599999999997</v>
      </c>
      <c r="K233" s="18"/>
      <c r="L233" s="19">
        <f>SUM(F233:K233)</f>
        <v>1876406.1400000001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392334.68+33960.67+100</f>
        <v>426395.35</v>
      </c>
      <c r="G234" s="18">
        <f>162631.06+11219.74+7.83</f>
        <v>173858.62999999998</v>
      </c>
      <c r="H234" s="18">
        <f>73290.07+911633.1</f>
        <v>984923.16999999993</v>
      </c>
      <c r="I234" s="18">
        <f>5093.59+162.06</f>
        <v>5255.6500000000005</v>
      </c>
      <c r="J234" s="18"/>
      <c r="K234" s="18"/>
      <c r="L234" s="19">
        <f>SUM(F234:K234)</f>
        <v>1590432.7999999998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110900</v>
      </c>
      <c r="I235" s="18"/>
      <c r="J235" s="18"/>
      <c r="K235" s="18"/>
      <c r="L235" s="19">
        <f>SUM(F235:K235)</f>
        <v>110900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103748+26789.71</f>
        <v>130537.70999999999</v>
      </c>
      <c r="G236" s="18">
        <f>15940.75+5188.24</f>
        <v>21128.989999999998</v>
      </c>
      <c r="H236" s="18">
        <f>34121.62</f>
        <v>34121.620000000003</v>
      </c>
      <c r="I236" s="18">
        <v>6622.34</v>
      </c>
      <c r="J236" s="18">
        <v>22102.26</v>
      </c>
      <c r="K236" s="18">
        <v>8097</v>
      </c>
      <c r="L236" s="19">
        <f>SUM(F236:K236)</f>
        <v>222609.91999999998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30630.24+11363.53+8643.22+14558.66+50007.79+31013.38+119254.85+899.6</f>
        <v>266371.27</v>
      </c>
      <c r="G238" s="18">
        <f>12635.98+661.19+493.33+5647.75+27265.56+15430.26+72911.74+1173.16</f>
        <v>136218.97</v>
      </c>
      <c r="H238" s="18">
        <f>12459.44+5515.44+3112.12+4549.13+5382.5</f>
        <v>31018.63</v>
      </c>
      <c r="I238" s="18">
        <f>26.7+2796.63+1057.53+907.27</f>
        <v>4788.1299999999992</v>
      </c>
      <c r="J238" s="18">
        <f>261.13+71.56</f>
        <v>332.69</v>
      </c>
      <c r="K238" s="18"/>
      <c r="L238" s="19">
        <f t="shared" ref="L238:L244" si="4">SUM(F238:K238)</f>
        <v>438729.69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30152.31+13627.78+5751.27+41117.37+1058</f>
        <v>91706.73000000001</v>
      </c>
      <c r="G239" s="18">
        <f>23012.79+9111.36+18858.03+319.68</f>
        <v>51301.86</v>
      </c>
      <c r="H239" s="18">
        <f>801+4575.38+5552.75</f>
        <v>10929.130000000001</v>
      </c>
      <c r="I239" s="18">
        <f>8257.73+11350</f>
        <v>19607.73</v>
      </c>
      <c r="J239" s="18">
        <f>22271.72+1400</f>
        <v>23671.72</v>
      </c>
      <c r="K239" s="18">
        <f>27.1</f>
        <v>27.1</v>
      </c>
      <c r="L239" s="19">
        <f t="shared" si="4"/>
        <v>197244.27000000005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4403.75+87738.98+43142.63</f>
        <v>135285.35999999999</v>
      </c>
      <c r="G240" s="18">
        <f>335.78+35750.73+19576.27+60.3</f>
        <v>55723.08</v>
      </c>
      <c r="H240" s="18">
        <f>7867.55+8013.18+1660.54</f>
        <v>17541.27</v>
      </c>
      <c r="I240" s="18">
        <f>3613.06+806.4</f>
        <v>4419.46</v>
      </c>
      <c r="J240" s="18"/>
      <c r="K240" s="18">
        <f>5798.33+518.66+266.94</f>
        <v>6583.9299999999994</v>
      </c>
      <c r="L240" s="19">
        <f t="shared" si="4"/>
        <v>219553.09999999998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209747.29</v>
      </c>
      <c r="G241" s="18">
        <f>64351.78+1683</f>
        <v>66034.78</v>
      </c>
      <c r="H241" s="18">
        <v>13762.04</v>
      </c>
      <c r="I241" s="18">
        <v>3027.91</v>
      </c>
      <c r="J241" s="18"/>
      <c r="K241" s="18">
        <v>28020.67</v>
      </c>
      <c r="L241" s="19">
        <f t="shared" si="4"/>
        <v>320592.68999999994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99132.54+53090.48</f>
        <v>152223.01999999999</v>
      </c>
      <c r="G243" s="18">
        <f>33629.79+1821.44+7132.68+8928.85+21511.71</f>
        <v>73024.47</v>
      </c>
      <c r="H243" s="18">
        <v>99631.71</v>
      </c>
      <c r="I243" s="18">
        <v>139689.75</v>
      </c>
      <c r="J243" s="18">
        <v>1827.72</v>
      </c>
      <c r="K243" s="18"/>
      <c r="L243" s="19">
        <f t="shared" si="4"/>
        <v>466396.67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428650.37</v>
      </c>
      <c r="I244" s="18"/>
      <c r="J244" s="18"/>
      <c r="K244" s="18"/>
      <c r="L244" s="19">
        <f t="shared" si="4"/>
        <v>428650.37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2622439.8199999998</v>
      </c>
      <c r="G247" s="41">
        <f t="shared" si="5"/>
        <v>1191027.71</v>
      </c>
      <c r="H247" s="41">
        <f t="shared" si="5"/>
        <v>1736997.9</v>
      </c>
      <c r="I247" s="41">
        <f t="shared" si="5"/>
        <v>226290.27000000002</v>
      </c>
      <c r="J247" s="41">
        <f t="shared" si="5"/>
        <v>52031.25</v>
      </c>
      <c r="K247" s="41">
        <f t="shared" si="5"/>
        <v>42728.7</v>
      </c>
      <c r="L247" s="41">
        <f t="shared" si="5"/>
        <v>5871515.6499999994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8407002.5600000005</v>
      </c>
      <c r="G257" s="41">
        <f t="shared" si="8"/>
        <v>3917428.12</v>
      </c>
      <c r="H257" s="41">
        <f t="shared" si="8"/>
        <v>2586524.2199999997</v>
      </c>
      <c r="I257" s="41">
        <f t="shared" si="8"/>
        <v>798695</v>
      </c>
      <c r="J257" s="41">
        <f t="shared" si="8"/>
        <v>140558.33000000002</v>
      </c>
      <c r="K257" s="41">
        <f t="shared" si="8"/>
        <v>67480.97</v>
      </c>
      <c r="L257" s="41">
        <f t="shared" si="8"/>
        <v>15917689.199999999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545000</v>
      </c>
      <c r="L260" s="19">
        <f>SUM(F260:K260)</f>
        <v>545000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357088.26</v>
      </c>
      <c r="L261" s="19">
        <f>SUM(F261:K261)</f>
        <v>357088.26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952088.26</v>
      </c>
      <c r="L270" s="41">
        <f t="shared" si="9"/>
        <v>952088.26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8407002.5600000005</v>
      </c>
      <c r="G271" s="42">
        <f t="shared" si="11"/>
        <v>3917428.12</v>
      </c>
      <c r="H271" s="42">
        <f t="shared" si="11"/>
        <v>2586524.2199999997</v>
      </c>
      <c r="I271" s="42">
        <f t="shared" si="11"/>
        <v>798695</v>
      </c>
      <c r="J271" s="42">
        <f t="shared" si="11"/>
        <v>140558.33000000002</v>
      </c>
      <c r="K271" s="42">
        <f t="shared" si="11"/>
        <v>1019569.23</v>
      </c>
      <c r="L271" s="42">
        <f t="shared" si="11"/>
        <v>16869777.460000001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132393.32+492</f>
        <v>132885.32</v>
      </c>
      <c r="G276" s="18"/>
      <c r="H276" s="18">
        <f>3825</f>
        <v>3825</v>
      </c>
      <c r="I276" s="18">
        <f>400+45.58</f>
        <v>445.58</v>
      </c>
      <c r="J276" s="18"/>
      <c r="K276" s="18"/>
      <c r="L276" s="19">
        <f>SUM(F276:K276)</f>
        <v>137155.9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7179.17</f>
        <v>7179.17</v>
      </c>
      <c r="G277" s="18"/>
      <c r="H277" s="18"/>
      <c r="I277" s="18">
        <f>470.43</f>
        <v>470.43</v>
      </c>
      <c r="J277" s="18">
        <v>7921.2</v>
      </c>
      <c r="K277" s="18"/>
      <c r="L277" s="19">
        <f>SUM(F277:K277)</f>
        <v>15570.8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9771.12</f>
        <v>9771.1200000000008</v>
      </c>
      <c r="G281" s="18"/>
      <c r="H281" s="18">
        <f>250+1018.11</f>
        <v>1268.1100000000001</v>
      </c>
      <c r="I281" s="18">
        <f>293.28+542.69+404.88</f>
        <v>1240.8499999999999</v>
      </c>
      <c r="J281" s="18"/>
      <c r="K281" s="18"/>
      <c r="L281" s="19">
        <f t="shared" ref="L281:L287" si="12">SUM(F281:K281)</f>
        <v>12280.080000000002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8557.55+6387.31+1640.36</f>
        <v>16585.22</v>
      </c>
      <c r="G282" s="18">
        <f>98.4</f>
        <v>98.4</v>
      </c>
      <c r="H282" s="18">
        <f>6585+27927.89+5809.54+835.06+492+1693.01</f>
        <v>43342.5</v>
      </c>
      <c r="I282" s="18">
        <f>1311.23+2907.38+4381.58</f>
        <v>8600.19</v>
      </c>
      <c r="J282" s="18">
        <f>10549.4</f>
        <v>10549.4</v>
      </c>
      <c r="K282" s="18"/>
      <c r="L282" s="19">
        <f t="shared" si="12"/>
        <v>79175.709999999992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2500+535.16</f>
        <v>3035.16</v>
      </c>
      <c r="G283" s="18"/>
      <c r="H283" s="18"/>
      <c r="I283" s="18"/>
      <c r="J283" s="18"/>
      <c r="K283" s="18"/>
      <c r="L283" s="19">
        <f t="shared" si="12"/>
        <v>3035.16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169455.99000000002</v>
      </c>
      <c r="G290" s="42">
        <f t="shared" si="13"/>
        <v>98.4</v>
      </c>
      <c r="H290" s="42">
        <f t="shared" si="13"/>
        <v>48435.61</v>
      </c>
      <c r="I290" s="42">
        <f t="shared" si="13"/>
        <v>10757.05</v>
      </c>
      <c r="J290" s="42">
        <f t="shared" si="13"/>
        <v>18470.599999999999</v>
      </c>
      <c r="K290" s="42">
        <f t="shared" si="13"/>
        <v>0</v>
      </c>
      <c r="L290" s="41">
        <f t="shared" si="13"/>
        <v>247217.64999999997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237</f>
        <v>237</v>
      </c>
      <c r="G295" s="18"/>
      <c r="H295" s="18"/>
      <c r="I295" s="18"/>
      <c r="J295" s="18"/>
      <c r="K295" s="18"/>
      <c r="L295" s="19">
        <f>SUM(F295:K295)</f>
        <v>237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30517+25234+14664</f>
        <v>70415</v>
      </c>
      <c r="G296" s="18"/>
      <c r="H296" s="18"/>
      <c r="I296" s="18"/>
      <c r="J296" s="18">
        <v>3815.7</v>
      </c>
      <c r="K296" s="18"/>
      <c r="L296" s="19">
        <f>SUM(F296:K296)</f>
        <v>74230.7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4706.82+750+750</f>
        <v>6206.82</v>
      </c>
      <c r="G300" s="18"/>
      <c r="H300" s="18"/>
      <c r="I300" s="18">
        <f>64.36</f>
        <v>64.36</v>
      </c>
      <c r="J300" s="18"/>
      <c r="K300" s="18"/>
      <c r="L300" s="19">
        <f t="shared" ref="L300:L306" si="14">SUM(F300:K300)</f>
        <v>6271.1799999999994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4122.24+3076.81+790.18</f>
        <v>7989.23</v>
      </c>
      <c r="G301" s="18">
        <f>47.4</f>
        <v>47.4</v>
      </c>
      <c r="H301" s="18">
        <f>13453.07+2798.5+402.26+237+815.53</f>
        <v>17706.359999999997</v>
      </c>
      <c r="I301" s="18">
        <f>631.64+1400.51+2110.64</f>
        <v>4142.79</v>
      </c>
      <c r="J301" s="18">
        <f>5081.73</f>
        <v>5081.7299999999996</v>
      </c>
      <c r="K301" s="18"/>
      <c r="L301" s="19">
        <f t="shared" si="14"/>
        <v>34967.509999999995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257.79000000000002</v>
      </c>
      <c r="G302" s="18"/>
      <c r="H302" s="18"/>
      <c r="I302" s="18"/>
      <c r="J302" s="18"/>
      <c r="K302" s="18"/>
      <c r="L302" s="19">
        <f t="shared" si="14"/>
        <v>257.79000000000002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85105.84</v>
      </c>
      <c r="G309" s="42">
        <f t="shared" si="15"/>
        <v>47.4</v>
      </c>
      <c r="H309" s="42">
        <f t="shared" si="15"/>
        <v>17706.359999999997</v>
      </c>
      <c r="I309" s="42">
        <f t="shared" si="15"/>
        <v>4207.1499999999996</v>
      </c>
      <c r="J309" s="42">
        <f t="shared" si="15"/>
        <v>8897.43</v>
      </c>
      <c r="K309" s="42">
        <f t="shared" si="15"/>
        <v>0</v>
      </c>
      <c r="L309" s="41">
        <f t="shared" si="15"/>
        <v>115964.17999999998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f>271</f>
        <v>271</v>
      </c>
      <c r="G314" s="18"/>
      <c r="H314" s="18"/>
      <c r="I314" s="18">
        <f>515</f>
        <v>515</v>
      </c>
      <c r="J314" s="18"/>
      <c r="K314" s="18"/>
      <c r="L314" s="19">
        <f>SUM(F314:K314)</f>
        <v>786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32116+39686</f>
        <v>71802</v>
      </c>
      <c r="G315" s="18">
        <f>900+3036+5620</f>
        <v>9556</v>
      </c>
      <c r="H315" s="18"/>
      <c r="I315" s="18"/>
      <c r="J315" s="18">
        <v>4363.1000000000004</v>
      </c>
      <c r="K315" s="18"/>
      <c r="L315" s="19">
        <f>SUM(F315:K315)</f>
        <v>85721.1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f>2935.95</f>
        <v>2935.95</v>
      </c>
      <c r="K317" s="18"/>
      <c r="L317" s="19">
        <f>SUM(F317:K317)</f>
        <v>2935.95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5382.06+1164+336</f>
        <v>6882.06</v>
      </c>
      <c r="G319" s="18"/>
      <c r="H319" s="18"/>
      <c r="I319" s="18">
        <f>70.9+1910</f>
        <v>1980.9</v>
      </c>
      <c r="J319" s="18"/>
      <c r="K319" s="18"/>
      <c r="L319" s="19">
        <f t="shared" ref="L319:L325" si="16">SUM(F319:K319)</f>
        <v>8862.9600000000009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4713.61+3518.2+903.52</f>
        <v>9135.33</v>
      </c>
      <c r="G320" s="18">
        <f>54.2</f>
        <v>54.2</v>
      </c>
      <c r="H320" s="18">
        <f>15383.04+3199.96+459.96+271+932.52</f>
        <v>20246.48</v>
      </c>
      <c r="I320" s="18">
        <f>722.24+1601.41+2413.43</f>
        <v>4737.08</v>
      </c>
      <c r="J320" s="18">
        <f>5810.74</f>
        <v>5810.74</v>
      </c>
      <c r="K320" s="18"/>
      <c r="L320" s="19">
        <f t="shared" si="16"/>
        <v>39983.83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294.77</v>
      </c>
      <c r="G321" s="18"/>
      <c r="H321" s="18"/>
      <c r="I321" s="18"/>
      <c r="J321" s="18"/>
      <c r="K321" s="18"/>
      <c r="L321" s="19">
        <f t="shared" si="16"/>
        <v>294.77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88385.16</v>
      </c>
      <c r="G328" s="42">
        <f t="shared" si="17"/>
        <v>9610.2000000000007</v>
      </c>
      <c r="H328" s="42">
        <f t="shared" si="17"/>
        <v>20246.48</v>
      </c>
      <c r="I328" s="42">
        <f t="shared" si="17"/>
        <v>7232.98</v>
      </c>
      <c r="J328" s="42">
        <f t="shared" si="17"/>
        <v>13109.79</v>
      </c>
      <c r="K328" s="42">
        <f t="shared" si="17"/>
        <v>0</v>
      </c>
      <c r="L328" s="41">
        <f t="shared" si="17"/>
        <v>138584.61000000002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342946.99</v>
      </c>
      <c r="G338" s="41">
        <f t="shared" si="20"/>
        <v>9756</v>
      </c>
      <c r="H338" s="41">
        <f t="shared" si="20"/>
        <v>86388.45</v>
      </c>
      <c r="I338" s="41">
        <f t="shared" si="20"/>
        <v>22197.18</v>
      </c>
      <c r="J338" s="41">
        <f t="shared" si="20"/>
        <v>40477.82</v>
      </c>
      <c r="K338" s="41">
        <f t="shared" si="20"/>
        <v>0</v>
      </c>
      <c r="L338" s="41">
        <f t="shared" si="20"/>
        <v>501766.43999999994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f>3839.85+193.83+1330.61+6344.42+54966.08</f>
        <v>66674.790000000008</v>
      </c>
      <c r="L344" s="19">
        <f t="shared" ref="L344:L350" si="21">SUM(F344:K344)</f>
        <v>66674.790000000008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66674.790000000008</v>
      </c>
      <c r="L351" s="41">
        <f>SUM(L341:L350)</f>
        <v>66674.790000000008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342946.99</v>
      </c>
      <c r="G352" s="41">
        <f>G338</f>
        <v>9756</v>
      </c>
      <c r="H352" s="41">
        <f>H338</f>
        <v>86388.45</v>
      </c>
      <c r="I352" s="41">
        <f>I338</f>
        <v>22197.18</v>
      </c>
      <c r="J352" s="41">
        <f>J338</f>
        <v>40477.82</v>
      </c>
      <c r="K352" s="47">
        <f>K338+K351</f>
        <v>66674.790000000008</v>
      </c>
      <c r="L352" s="41">
        <f>L338+L351</f>
        <v>568441.23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54678.62</v>
      </c>
      <c r="G358" s="18">
        <v>11322.26</v>
      </c>
      <c r="H358" s="18">
        <v>964.81</v>
      </c>
      <c r="I358" s="18">
        <v>68358.850000000006</v>
      </c>
      <c r="J358" s="18">
        <v>3979.37</v>
      </c>
      <c r="K358" s="18">
        <v>710.94</v>
      </c>
      <c r="L358" s="13">
        <f>SUM(F358:K358)</f>
        <v>140014.85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49022.29</v>
      </c>
      <c r="G359" s="18">
        <v>17293.72</v>
      </c>
      <c r="H359" s="18">
        <v>464.76</v>
      </c>
      <c r="I359" s="18">
        <v>48387.77</v>
      </c>
      <c r="J359" s="18">
        <v>1916.89</v>
      </c>
      <c r="K359" s="18">
        <v>342.46</v>
      </c>
      <c r="L359" s="19">
        <f>SUM(F359:K359)</f>
        <v>117427.89000000001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56172.98</v>
      </c>
      <c r="G360" s="18">
        <v>19814.72</v>
      </c>
      <c r="H360" s="18">
        <v>531.42999999999995</v>
      </c>
      <c r="I360" s="18">
        <v>55435.03</v>
      </c>
      <c r="J360" s="18">
        <v>2191.89</v>
      </c>
      <c r="K360" s="18">
        <v>391.6</v>
      </c>
      <c r="L360" s="19">
        <f>SUM(F360:K360)</f>
        <v>134537.65000000002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159873.89000000001</v>
      </c>
      <c r="G362" s="47">
        <f t="shared" si="22"/>
        <v>48430.700000000004</v>
      </c>
      <c r="H362" s="47">
        <f t="shared" si="22"/>
        <v>1961</v>
      </c>
      <c r="I362" s="47">
        <f t="shared" si="22"/>
        <v>172181.65</v>
      </c>
      <c r="J362" s="47">
        <f t="shared" si="22"/>
        <v>8088.15</v>
      </c>
      <c r="K362" s="47">
        <f t="shared" si="22"/>
        <v>1445</v>
      </c>
      <c r="L362" s="47">
        <f t="shared" si="22"/>
        <v>391980.39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52316.57</v>
      </c>
      <c r="G367" s="18">
        <v>40565.78</v>
      </c>
      <c r="H367" s="18">
        <v>46485.26</v>
      </c>
      <c r="I367" s="56">
        <f>SUM(F367:H367)</f>
        <v>139367.61000000002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68358.85-52316.57</f>
        <v>16042.280000000006</v>
      </c>
      <c r="G368" s="63">
        <f>48387.77-40565.78</f>
        <v>7821.989999999998</v>
      </c>
      <c r="H368" s="63">
        <f>55435.03-46485.26</f>
        <v>8949.7699999999968</v>
      </c>
      <c r="I368" s="56">
        <f>SUM(F368:H368)</f>
        <v>32814.04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68358.850000000006</v>
      </c>
      <c r="G369" s="47">
        <f>SUM(G367:G368)</f>
        <v>48387.77</v>
      </c>
      <c r="H369" s="47">
        <f>SUM(H367:H368)</f>
        <v>55435.03</v>
      </c>
      <c r="I369" s="47">
        <f>SUM(I367:I368)</f>
        <v>172181.65000000002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>
        <v>50000</v>
      </c>
      <c r="H392" s="18">
        <v>139.07</v>
      </c>
      <c r="I392" s="18"/>
      <c r="J392" s="24" t="s">
        <v>289</v>
      </c>
      <c r="K392" s="24" t="s">
        <v>289</v>
      </c>
      <c r="L392" s="56">
        <f t="shared" si="25"/>
        <v>50139.07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139.07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50139.07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139.07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50139.07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100205.35</v>
      </c>
      <c r="G440" s="18"/>
      <c r="H440" s="18"/>
      <c r="I440" s="56">
        <f t="shared" si="33"/>
        <v>100205.35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100205.35</v>
      </c>
      <c r="G446" s="13">
        <f>SUM(G439:G445)</f>
        <v>0</v>
      </c>
      <c r="H446" s="13">
        <f>SUM(H439:H445)</f>
        <v>0</v>
      </c>
      <c r="I446" s="13">
        <f>SUM(I439:I445)</f>
        <v>100205.35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100205.35</v>
      </c>
      <c r="G459" s="18"/>
      <c r="H459" s="18"/>
      <c r="I459" s="56">
        <f t="shared" si="34"/>
        <v>100205.35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100205.35</v>
      </c>
      <c r="G460" s="83">
        <f>SUM(G454:G459)</f>
        <v>0</v>
      </c>
      <c r="H460" s="83">
        <f>SUM(H454:H459)</f>
        <v>0</v>
      </c>
      <c r="I460" s="83">
        <f>SUM(I454:I459)</f>
        <v>100205.35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100205.35</v>
      </c>
      <c r="G461" s="42">
        <f>G452+G460</f>
        <v>0</v>
      </c>
      <c r="H461" s="42">
        <f>H452+H460</f>
        <v>0</v>
      </c>
      <c r="I461" s="42">
        <f>I452+I460</f>
        <v>100205.35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605302.92000000004</v>
      </c>
      <c r="G465" s="18">
        <v>67974.960000000006</v>
      </c>
      <c r="H465" s="18">
        <v>2736.43</v>
      </c>
      <c r="I465" s="18"/>
      <c r="J465" s="18">
        <v>50066.28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16677699.26</v>
      </c>
      <c r="G468" s="18">
        <v>387392.35</v>
      </c>
      <c r="H468" s="18">
        <f>553683.91+15610.95</f>
        <v>569294.86</v>
      </c>
      <c r="I468" s="18"/>
      <c r="J468" s="18">
        <v>50139.07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7493.77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16685193.029999999</v>
      </c>
      <c r="G470" s="53">
        <f>SUM(G468:G469)</f>
        <v>387392.35</v>
      </c>
      <c r="H470" s="53">
        <f>SUM(H468:H469)</f>
        <v>569294.86</v>
      </c>
      <c r="I470" s="53">
        <f>SUM(I468:I469)</f>
        <v>0</v>
      </c>
      <c r="J470" s="53">
        <f>SUM(J468:J469)</f>
        <v>50139.07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16869777.460000001</v>
      </c>
      <c r="G472" s="18">
        <v>391980.39</v>
      </c>
      <c r="H472" s="18">
        <f>553683.91+14757.32</f>
        <v>568441.23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63240</v>
      </c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16933017.460000001</v>
      </c>
      <c r="G474" s="53">
        <f>SUM(G472:G473)</f>
        <v>391980.39</v>
      </c>
      <c r="H474" s="53">
        <f>SUM(H472:H473)</f>
        <v>568441.23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357478.48999999836</v>
      </c>
      <c r="G476" s="53">
        <f>(G465+G470)- G474</f>
        <v>63386.919999999984</v>
      </c>
      <c r="H476" s="53">
        <f>(H465+H470)- H474</f>
        <v>3590.0600000000559</v>
      </c>
      <c r="I476" s="53">
        <f>(I465+I470)- I474</f>
        <v>0</v>
      </c>
      <c r="J476" s="53">
        <f>(J465+J470)- J474</f>
        <v>100205.35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915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12072350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4.13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8555000</v>
      </c>
      <c r="G495" s="18"/>
      <c r="H495" s="18"/>
      <c r="I495" s="18"/>
      <c r="J495" s="18"/>
      <c r="K495" s="53">
        <f>SUM(F495:J495)</f>
        <v>8555000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545000</v>
      </c>
      <c r="G497" s="18"/>
      <c r="H497" s="18"/>
      <c r="I497" s="18"/>
      <c r="J497" s="18"/>
      <c r="K497" s="53">
        <f t="shared" si="35"/>
        <v>545000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8010000</v>
      </c>
      <c r="G498" s="204"/>
      <c r="H498" s="204"/>
      <c r="I498" s="204"/>
      <c r="J498" s="204"/>
      <c r="K498" s="205">
        <f t="shared" si="35"/>
        <v>8010000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2143930.09</v>
      </c>
      <c r="G499" s="18"/>
      <c r="H499" s="18"/>
      <c r="I499" s="18"/>
      <c r="J499" s="18"/>
      <c r="K499" s="53">
        <f t="shared" si="35"/>
        <v>2143930.09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10153930.09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10153930.09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575000</v>
      </c>
      <c r="G501" s="204"/>
      <c r="H501" s="204"/>
      <c r="I501" s="204"/>
      <c r="J501" s="204"/>
      <c r="K501" s="205">
        <f t="shared" si="35"/>
        <v>575000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329088.26</v>
      </c>
      <c r="G502" s="18"/>
      <c r="H502" s="18"/>
      <c r="I502" s="18"/>
      <c r="J502" s="18"/>
      <c r="K502" s="53">
        <f t="shared" si="35"/>
        <v>329088.26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904088.26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904088.26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784959.35+7179.17</f>
        <v>792138.52</v>
      </c>
      <c r="G521" s="18">
        <f>363561.25</f>
        <v>363561.25</v>
      </c>
      <c r="H521" s="18">
        <f>82097.62</f>
        <v>82097.62</v>
      </c>
      <c r="I521" s="18">
        <f>13253.08+470.43</f>
        <v>13723.51</v>
      </c>
      <c r="J521" s="18">
        <f>512.26+7921.2</f>
        <v>8433.4599999999991</v>
      </c>
      <c r="K521" s="18"/>
      <c r="L521" s="88">
        <f>SUM(F521:K521)</f>
        <v>1259954.3600000001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378857.76+70415</f>
        <v>449272.76</v>
      </c>
      <c r="G522" s="18">
        <f>165734.26</f>
        <v>165734.26</v>
      </c>
      <c r="H522" s="18"/>
      <c r="I522" s="18">
        <f>2183.8</f>
        <v>2183.8000000000002</v>
      </c>
      <c r="J522" s="18">
        <f>3815.7</f>
        <v>3815.7</v>
      </c>
      <c r="K522" s="18"/>
      <c r="L522" s="88">
        <f>SUM(F522:K522)</f>
        <v>621006.52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426395.35+71802</f>
        <v>498197.35</v>
      </c>
      <c r="G523" s="18">
        <f>173858.63+9556</f>
        <v>183414.63</v>
      </c>
      <c r="H523" s="18">
        <f>984923.17</f>
        <v>984923.17</v>
      </c>
      <c r="I523" s="18">
        <v>5255.65</v>
      </c>
      <c r="J523" s="18">
        <f>4363.1</f>
        <v>4363.1000000000004</v>
      </c>
      <c r="K523" s="18"/>
      <c r="L523" s="88">
        <f>SUM(F523:K523)</f>
        <v>1676153.9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1739608.63</v>
      </c>
      <c r="G524" s="108">
        <f t="shared" ref="G524:L524" si="36">SUM(G521:G523)</f>
        <v>712710.14</v>
      </c>
      <c r="H524" s="108">
        <f t="shared" si="36"/>
        <v>1067020.79</v>
      </c>
      <c r="I524" s="108">
        <f t="shared" si="36"/>
        <v>21162.959999999999</v>
      </c>
      <c r="J524" s="108">
        <f t="shared" si="36"/>
        <v>16612.260000000002</v>
      </c>
      <c r="K524" s="108">
        <f t="shared" si="36"/>
        <v>0</v>
      </c>
      <c r="L524" s="89">
        <f t="shared" si="36"/>
        <v>3557114.7800000003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26431.2+88062.59+79.77+2646.69+54952.96+1351.77</f>
        <v>173524.97999999998</v>
      </c>
      <c r="G526" s="18">
        <f>4218.16+274.64+1950.75+3809.92+28032.93+1012.89+7185.5+13269.25+15422.3+549.19+4058.89+7983.24+197.48+3292.98</f>
        <v>91258.12</v>
      </c>
      <c r="H526" s="18">
        <f>21794.04+223.86+4826.2+5863.7+5650.04+20534.83+4608.09</f>
        <v>63500.760000000009</v>
      </c>
      <c r="I526" s="18">
        <f>1434.43+103.81+488.07+124.38+1487.03+129.97+2224.99+600</f>
        <v>6592.68</v>
      </c>
      <c r="J526" s="18">
        <f>302.45+440+1077.85+339.76</f>
        <v>2160.06</v>
      </c>
      <c r="K526" s="18"/>
      <c r="L526" s="88">
        <f>SUM(F526:K526)</f>
        <v>337036.6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12732.11+42420.39+38.43+1274.93+26471.24+651.16+7542.58</f>
        <v>91130.840000000011</v>
      </c>
      <c r="G527" s="18">
        <f>2031.92+132.3+939.69+1835.26+13503.67+487.92+3461.31+6391.9+7429.03+264.55+1955.2+3845.59+577+430.5</f>
        <v>43285.84</v>
      </c>
      <c r="H527" s="18">
        <f>10498.35+107.84+2324.81+2824.58+2721.67+9891.78+2219.75</f>
        <v>30588.78</v>
      </c>
      <c r="I527" s="18">
        <f>690.97+50+235.11+59.91+23.3</f>
        <v>1059.29</v>
      </c>
      <c r="J527" s="18">
        <f>145.69+211.95+227.87</f>
        <v>585.51</v>
      </c>
      <c r="K527" s="18"/>
      <c r="L527" s="88">
        <f>SUM(F527:K527)</f>
        <v>166650.26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14558.66+48506.02+43.94+1457.83+30268.8+744.57+8643.22</f>
        <v>104223.04000000001</v>
      </c>
      <c r="G528" s="18">
        <f>2323.42+151.28+1074.5+2098.55+15440.9+557.91+3957.87+7308.88+8494.8+302.5+2235.69+4397.27+661.19+493.33</f>
        <v>49498.090000000011</v>
      </c>
      <c r="H528" s="18">
        <f>12004.44+123.31+2658.33+3229.8+3112.12+11310.85+2538.19</f>
        <v>34977.040000000001</v>
      </c>
      <c r="I528" s="18">
        <f>790.1+57.18+268.83+68.51+26.7</f>
        <v>1211.32</v>
      </c>
      <c r="J528" s="18">
        <f>166.59+242.36+261.13</f>
        <v>670.08</v>
      </c>
      <c r="K528" s="18"/>
      <c r="L528" s="88">
        <f>SUM(F528:K528)</f>
        <v>190579.57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368878.86</v>
      </c>
      <c r="G529" s="89">
        <f t="shared" ref="G529:L529" si="37">SUM(G526:G528)</f>
        <v>184042.05</v>
      </c>
      <c r="H529" s="89">
        <f t="shared" si="37"/>
        <v>129066.58000000002</v>
      </c>
      <c r="I529" s="89">
        <f t="shared" si="37"/>
        <v>8863.2900000000009</v>
      </c>
      <c r="J529" s="89">
        <f t="shared" si="37"/>
        <v>3415.6499999999996</v>
      </c>
      <c r="K529" s="89">
        <f t="shared" si="37"/>
        <v>0</v>
      </c>
      <c r="L529" s="89">
        <f t="shared" si="37"/>
        <v>694266.42999999993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78325.37</v>
      </c>
      <c r="G531" s="18">
        <v>35540.68</v>
      </c>
      <c r="H531" s="18">
        <v>3014.71</v>
      </c>
      <c r="I531" s="18">
        <v>1464.01</v>
      </c>
      <c r="J531" s="18"/>
      <c r="K531" s="18">
        <v>484.62</v>
      </c>
      <c r="L531" s="88">
        <f>SUM(F531:K531)</f>
        <v>118829.38999999998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37729.9</v>
      </c>
      <c r="G532" s="18">
        <v>17120.2</v>
      </c>
      <c r="H532" s="18">
        <v>1452.21</v>
      </c>
      <c r="I532" s="18">
        <v>705.23</v>
      </c>
      <c r="J532" s="18"/>
      <c r="K532" s="18">
        <v>233.45</v>
      </c>
      <c r="L532" s="88">
        <f>SUM(F532:K532)</f>
        <v>57240.990000000005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43142.62</v>
      </c>
      <c r="G533" s="18">
        <v>19576.27</v>
      </c>
      <c r="H533" s="18">
        <v>1660.54</v>
      </c>
      <c r="I533" s="18">
        <v>806.4</v>
      </c>
      <c r="J533" s="18"/>
      <c r="K533" s="18">
        <v>266.94</v>
      </c>
      <c r="L533" s="88">
        <f>SUM(F533:K533)</f>
        <v>65452.770000000004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159197.88999999998</v>
      </c>
      <c r="G534" s="89">
        <f t="shared" ref="G534:L534" si="38">SUM(G531:G533)</f>
        <v>72237.150000000009</v>
      </c>
      <c r="H534" s="89">
        <f t="shared" si="38"/>
        <v>6127.46</v>
      </c>
      <c r="I534" s="89">
        <f t="shared" si="38"/>
        <v>2975.64</v>
      </c>
      <c r="J534" s="89">
        <f t="shared" si="38"/>
        <v>0</v>
      </c>
      <c r="K534" s="89">
        <f t="shared" si="38"/>
        <v>985.01</v>
      </c>
      <c r="L534" s="89">
        <f t="shared" si="38"/>
        <v>241523.15000000002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1435.71</v>
      </c>
      <c r="I538" s="18"/>
      <c r="J538" s="18"/>
      <c r="K538" s="18"/>
      <c r="L538" s="88">
        <f>SUM(F538:K538)</f>
        <v>1435.71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1435.71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1435.71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48310.39</v>
      </c>
      <c r="I541" s="18"/>
      <c r="J541" s="18"/>
      <c r="K541" s="18"/>
      <c r="L541" s="88">
        <f>SUM(F541:K541)</f>
        <v>48310.39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8096.14</v>
      </c>
      <c r="I542" s="18"/>
      <c r="J542" s="18"/>
      <c r="K542" s="18"/>
      <c r="L542" s="88">
        <f>SUM(F542:K542)</f>
        <v>8096.14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287187.99</v>
      </c>
      <c r="I543" s="18"/>
      <c r="J543" s="18"/>
      <c r="K543" s="18"/>
      <c r="L543" s="88">
        <f>SUM(F543:K543)</f>
        <v>287187.99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343594.52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343594.52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2267685.38</v>
      </c>
      <c r="G545" s="89">
        <f t="shared" ref="G545:L545" si="41">G524+G529+G534+G539+G544</f>
        <v>968989.34</v>
      </c>
      <c r="H545" s="89">
        <f t="shared" si="41"/>
        <v>1547245.06</v>
      </c>
      <c r="I545" s="89">
        <f t="shared" si="41"/>
        <v>33001.89</v>
      </c>
      <c r="J545" s="89">
        <f t="shared" si="41"/>
        <v>20027.910000000003</v>
      </c>
      <c r="K545" s="89">
        <f t="shared" si="41"/>
        <v>985.01</v>
      </c>
      <c r="L545" s="89">
        <f t="shared" si="41"/>
        <v>4837934.59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1259954.3600000001</v>
      </c>
      <c r="G549" s="87">
        <f>L526</f>
        <v>337036.6</v>
      </c>
      <c r="H549" s="87">
        <f>L531</f>
        <v>118829.38999999998</v>
      </c>
      <c r="I549" s="87">
        <f>L536</f>
        <v>0</v>
      </c>
      <c r="J549" s="87">
        <f>L541</f>
        <v>48310.39</v>
      </c>
      <c r="K549" s="87">
        <f>SUM(F549:J549)</f>
        <v>1764130.7399999998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621006.52</v>
      </c>
      <c r="G550" s="87">
        <f>L527</f>
        <v>166650.26</v>
      </c>
      <c r="H550" s="87">
        <f>L532</f>
        <v>57240.990000000005</v>
      </c>
      <c r="I550" s="87">
        <f>L537</f>
        <v>0</v>
      </c>
      <c r="J550" s="87">
        <f>L542</f>
        <v>8096.14</v>
      </c>
      <c r="K550" s="87">
        <f>SUM(F550:J550)</f>
        <v>852993.91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1676153.9</v>
      </c>
      <c r="G551" s="87">
        <f>L528</f>
        <v>190579.57</v>
      </c>
      <c r="H551" s="87">
        <f>L533</f>
        <v>65452.770000000004</v>
      </c>
      <c r="I551" s="87">
        <f>L538</f>
        <v>1435.71</v>
      </c>
      <c r="J551" s="87">
        <f>L543</f>
        <v>287187.99</v>
      </c>
      <c r="K551" s="87">
        <f>SUM(F551:J551)</f>
        <v>2220809.94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3557114.7800000003</v>
      </c>
      <c r="G552" s="89">
        <f t="shared" si="42"/>
        <v>694266.42999999993</v>
      </c>
      <c r="H552" s="89">
        <f t="shared" si="42"/>
        <v>241523.15000000002</v>
      </c>
      <c r="I552" s="89">
        <f t="shared" si="42"/>
        <v>1435.71</v>
      </c>
      <c r="J552" s="89">
        <f t="shared" si="42"/>
        <v>343594.52</v>
      </c>
      <c r="K552" s="89">
        <f t="shared" si="42"/>
        <v>4837934.59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f>132393.32+2500+54046</f>
        <v>188939.32</v>
      </c>
      <c r="G557" s="18">
        <v>28340.9</v>
      </c>
      <c r="H557" s="18">
        <f>6585</f>
        <v>6585</v>
      </c>
      <c r="I557" s="18">
        <f>400+45.58+293.28</f>
        <v>738.8599999999999</v>
      </c>
      <c r="J557" s="18"/>
      <c r="K557" s="18"/>
      <c r="L557" s="88">
        <f>SUM(F557:K557)</f>
        <v>224604.08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188939.32</v>
      </c>
      <c r="G560" s="108">
        <f t="shared" si="43"/>
        <v>28340.9</v>
      </c>
      <c r="H560" s="108">
        <f t="shared" si="43"/>
        <v>6585</v>
      </c>
      <c r="I560" s="108">
        <f t="shared" si="43"/>
        <v>738.8599999999999</v>
      </c>
      <c r="J560" s="108">
        <f t="shared" si="43"/>
        <v>0</v>
      </c>
      <c r="K560" s="108">
        <f t="shared" si="43"/>
        <v>0</v>
      </c>
      <c r="L560" s="89">
        <f t="shared" si="43"/>
        <v>224604.08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34367.5</v>
      </c>
      <c r="G562" s="18">
        <v>5155.1099999999997</v>
      </c>
      <c r="H562" s="18"/>
      <c r="I562" s="18">
        <v>498.32</v>
      </c>
      <c r="J562" s="18"/>
      <c r="K562" s="18"/>
      <c r="L562" s="88">
        <f>SUM(F562:K562)</f>
        <v>40020.93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3436.75</v>
      </c>
      <c r="G563" s="18">
        <v>515.52</v>
      </c>
      <c r="H563" s="18"/>
      <c r="I563" s="18">
        <v>49.84</v>
      </c>
      <c r="J563" s="18"/>
      <c r="K563" s="18"/>
      <c r="L563" s="88">
        <f>SUM(F563:K563)</f>
        <v>4002.11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3436.75</v>
      </c>
      <c r="G564" s="18">
        <v>515.52</v>
      </c>
      <c r="H564" s="18"/>
      <c r="I564" s="18">
        <v>49.84</v>
      </c>
      <c r="J564" s="18"/>
      <c r="K564" s="18"/>
      <c r="L564" s="88">
        <f>SUM(F564:K564)</f>
        <v>4002.11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41241</v>
      </c>
      <c r="G565" s="89">
        <f t="shared" si="44"/>
        <v>6186.15</v>
      </c>
      <c r="H565" s="89">
        <f t="shared" si="44"/>
        <v>0</v>
      </c>
      <c r="I565" s="89">
        <f t="shared" si="44"/>
        <v>598</v>
      </c>
      <c r="J565" s="89">
        <f t="shared" si="44"/>
        <v>0</v>
      </c>
      <c r="K565" s="89">
        <f t="shared" si="44"/>
        <v>0</v>
      </c>
      <c r="L565" s="89">
        <f t="shared" si="44"/>
        <v>48025.15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230180.32</v>
      </c>
      <c r="G571" s="89">
        <f t="shared" ref="G571:L571" si="46">G560+G565+G570</f>
        <v>34527.050000000003</v>
      </c>
      <c r="H571" s="89">
        <f t="shared" si="46"/>
        <v>6585</v>
      </c>
      <c r="I571" s="89">
        <f t="shared" si="46"/>
        <v>1336.86</v>
      </c>
      <c r="J571" s="89">
        <f t="shared" si="46"/>
        <v>0</v>
      </c>
      <c r="K571" s="89">
        <f t="shared" si="46"/>
        <v>0</v>
      </c>
      <c r="L571" s="89">
        <f t="shared" si="46"/>
        <v>272629.23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2209</v>
      </c>
      <c r="G575" s="18"/>
      <c r="H575" s="18">
        <v>73290.070000000007</v>
      </c>
      <c r="I575" s="87">
        <f>SUM(F575:H575)</f>
        <v>75499.070000000007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>
        <v>41783.03</v>
      </c>
      <c r="I580" s="87">
        <f t="shared" si="47"/>
        <v>41783.03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48362.72+32187.15</f>
        <v>80549.87</v>
      </c>
      <c r="G582" s="18"/>
      <c r="H582" s="18">
        <v>518517.69</v>
      </c>
      <c r="I582" s="87">
        <f t="shared" si="47"/>
        <v>599067.56000000006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f>69273.29+268863.47</f>
        <v>338136.75999999995</v>
      </c>
      <c r="I583" s="87">
        <f t="shared" si="47"/>
        <v>338136.75999999995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110900</v>
      </c>
      <c r="I584" s="87">
        <f t="shared" si="47"/>
        <v>110900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128559.85+17076.6</f>
        <v>145636.45000000001</v>
      </c>
      <c r="I591" s="18">
        <v>61928.22</v>
      </c>
      <c r="J591" s="18">
        <v>70812.429999999993</v>
      </c>
      <c r="K591" s="104">
        <f t="shared" ref="K591:K597" si="48">SUM(H591:J591)</f>
        <v>278377.09999999998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16807.22+31503.17</f>
        <v>48310.39</v>
      </c>
      <c r="I592" s="18">
        <v>8096.14</v>
      </c>
      <c r="J592" s="18">
        <f>9257.64+250249.33+27681.02</f>
        <v>287187.99</v>
      </c>
      <c r="K592" s="104">
        <f t="shared" si="48"/>
        <v>343594.52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36605.9</v>
      </c>
      <c r="K593" s="104">
        <f t="shared" si="48"/>
        <v>36605.9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4454.88</v>
      </c>
      <c r="J594" s="18">
        <v>32592.51</v>
      </c>
      <c r="K594" s="104">
        <f t="shared" si="48"/>
        <v>37047.39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>
        <v>2763.62</v>
      </c>
      <c r="J595" s="18">
        <v>1451.54</v>
      </c>
      <c r="K595" s="104">
        <f t="shared" si="48"/>
        <v>4215.16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193946.84000000003</v>
      </c>
      <c r="I598" s="108">
        <f>SUM(I591:I597)</f>
        <v>77242.86</v>
      </c>
      <c r="J598" s="108">
        <f>SUM(J591:J597)</f>
        <v>428650.37</v>
      </c>
      <c r="K598" s="108">
        <f>SUM(K591:K597)</f>
        <v>699840.07000000007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51930.41+18470.6</f>
        <v>70401.010000000009</v>
      </c>
      <c r="I604" s="18">
        <f>36596.67+8897.43</f>
        <v>45494.1</v>
      </c>
      <c r="J604" s="18">
        <f>52031.25+13109.79</f>
        <v>65141.04</v>
      </c>
      <c r="K604" s="104">
        <f>SUM(H604:J604)</f>
        <v>181036.15000000002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70401.010000000009</v>
      </c>
      <c r="I605" s="108">
        <f>SUM(I602:I604)</f>
        <v>45494.1</v>
      </c>
      <c r="J605" s="108">
        <f>SUM(J602:J604)</f>
        <v>65141.04</v>
      </c>
      <c r="K605" s="108">
        <f>SUM(K602:K604)</f>
        <v>181036.15000000002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3885+28705.34</f>
        <v>32590.34</v>
      </c>
      <c r="G611" s="18">
        <f>F611*0.15</f>
        <v>4888.5509999999995</v>
      </c>
      <c r="H611" s="18"/>
      <c r="I611" s="18"/>
      <c r="J611" s="18"/>
      <c r="K611" s="18"/>
      <c r="L611" s="88">
        <f>SUM(F611:K611)</f>
        <v>37478.891000000003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18435.8+13827.57</f>
        <v>32263.37</v>
      </c>
      <c r="G612" s="18">
        <f>F612*0.15</f>
        <v>4839.5054999999993</v>
      </c>
      <c r="H612" s="18"/>
      <c r="I612" s="18"/>
      <c r="J612" s="18"/>
      <c r="K612" s="18"/>
      <c r="L612" s="88">
        <f>SUM(F612:K612)</f>
        <v>37102.875499999995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7842.5+15811.27</f>
        <v>23653.77</v>
      </c>
      <c r="G613" s="18">
        <f>F613*0.15</f>
        <v>3548.0655000000002</v>
      </c>
      <c r="H613" s="18"/>
      <c r="I613" s="18"/>
      <c r="J613" s="18"/>
      <c r="K613" s="18"/>
      <c r="L613" s="88">
        <f>SUM(F613:K613)</f>
        <v>27201.835500000001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88507.48</v>
      </c>
      <c r="G614" s="108">
        <f t="shared" si="49"/>
        <v>13276.121999999999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101783.602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1013644.4299999999</v>
      </c>
      <c r="H617" s="109">
        <f>SUM(F52)</f>
        <v>1013644.43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189934.74000000002</v>
      </c>
      <c r="H618" s="109">
        <f>SUM(G52)</f>
        <v>189934.74000000002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138919.24</v>
      </c>
      <c r="H619" s="109">
        <f>SUM(H52)</f>
        <v>138919.24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100205.35</v>
      </c>
      <c r="H621" s="109">
        <f>SUM(J52)</f>
        <v>100205.35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357478.49</v>
      </c>
      <c r="H622" s="109">
        <f>F476</f>
        <v>357478.48999999836</v>
      </c>
      <c r="I622" s="121" t="s">
        <v>101</v>
      </c>
      <c r="J622" s="109">
        <f t="shared" ref="J622:J655" si="50">G622-H622</f>
        <v>1.6298145055770874E-9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63386.920000000006</v>
      </c>
      <c r="H623" s="109">
        <f>G476</f>
        <v>63386.919999999984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3590.06</v>
      </c>
      <c r="H624" s="109">
        <f>H476</f>
        <v>3590.0600000000559</v>
      </c>
      <c r="I624" s="121" t="s">
        <v>103</v>
      </c>
      <c r="J624" s="109">
        <f t="shared" si="50"/>
        <v>-5.5933924159035087E-11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100205.35</v>
      </c>
      <c r="H626" s="109">
        <f>J476</f>
        <v>100205.35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16677699.26</v>
      </c>
      <c r="H627" s="104">
        <f>SUM(F468)</f>
        <v>16677699.26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387392.35</v>
      </c>
      <c r="H628" s="104">
        <f>SUM(G468)</f>
        <v>387392.35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569294.86</v>
      </c>
      <c r="H629" s="104">
        <f>SUM(H468)</f>
        <v>569294.86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50139.07</v>
      </c>
      <c r="H631" s="104">
        <f>SUM(J468)</f>
        <v>50139.07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16869777.460000001</v>
      </c>
      <c r="H632" s="104">
        <f>SUM(F472)</f>
        <v>16869777.460000001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568441.23</v>
      </c>
      <c r="H633" s="104">
        <f>SUM(H472)</f>
        <v>568441.23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172181.65</v>
      </c>
      <c r="H634" s="104">
        <f>I369</f>
        <v>172181.65000000002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391980.39</v>
      </c>
      <c r="H635" s="104">
        <f>SUM(G472)</f>
        <v>391980.39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50139.07</v>
      </c>
      <c r="H637" s="164">
        <f>SUM(J468)</f>
        <v>50139.07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100205.35</v>
      </c>
      <c r="H639" s="104">
        <f>SUM(F461)</f>
        <v>100205.35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100205.35</v>
      </c>
      <c r="H642" s="104">
        <f>SUM(I461)</f>
        <v>100205.35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139.07</v>
      </c>
      <c r="H644" s="104">
        <f>H408</f>
        <v>139.07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50139.07</v>
      </c>
      <c r="H646" s="104">
        <f>L408</f>
        <v>50139.07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699840.07000000007</v>
      </c>
      <c r="H647" s="104">
        <f>L208+L226+L244</f>
        <v>699840.07000000007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181036.15000000002</v>
      </c>
      <c r="H648" s="104">
        <f>(J257+J338)-(J255+J336)</f>
        <v>181036.15000000002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193946.84</v>
      </c>
      <c r="H649" s="104">
        <f>H598</f>
        <v>193946.84000000003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77242.86</v>
      </c>
      <c r="H650" s="104">
        <f>I598</f>
        <v>77242.86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428650.37</v>
      </c>
      <c r="H651" s="104">
        <f>J598</f>
        <v>428650.37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7007729.9400000004</v>
      </c>
      <c r="G660" s="19">
        <f>(L229+L309+L359)</f>
        <v>3659068.18</v>
      </c>
      <c r="H660" s="19">
        <f>(L247+L328+L360)</f>
        <v>6144637.9100000001</v>
      </c>
      <c r="I660" s="19">
        <f>SUM(F660:H660)</f>
        <v>16811436.030000001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75979.744661940873</v>
      </c>
      <c r="G661" s="19">
        <f>(L359/IF(SUM(L358:L360)=0,1,SUM(L358:L360))*(SUM(G97:G110)))</f>
        <v>63722.820103656726</v>
      </c>
      <c r="H661" s="19">
        <f>(L360/IF(SUM(L358:L360)=0,1,SUM(L358:L360))*(SUM(G97:G110)))</f>
        <v>73007.515234402439</v>
      </c>
      <c r="I661" s="19">
        <f>SUM(F661:H661)</f>
        <v>212710.08000000005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193946.84</v>
      </c>
      <c r="G662" s="19">
        <f>(L226+L306)-(J226+J306)</f>
        <v>77242.86</v>
      </c>
      <c r="H662" s="19">
        <f>(L244+L325)-(J244+J325)</f>
        <v>428650.37</v>
      </c>
      <c r="I662" s="19">
        <f>SUM(F662:H662)</f>
        <v>699840.07000000007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190638.77100000001</v>
      </c>
      <c r="G663" s="199">
        <f>SUM(G575:G587)+SUM(I602:I604)+L612</f>
        <v>82596.9755</v>
      </c>
      <c r="H663" s="199">
        <f>SUM(H575:H587)+SUM(J602:J604)+L613</f>
        <v>1174970.4255000001</v>
      </c>
      <c r="I663" s="19">
        <f>SUM(F663:H663)</f>
        <v>1448206.1720000003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6547164.5843380596</v>
      </c>
      <c r="G664" s="19">
        <f>G660-SUM(G661:G663)</f>
        <v>3435505.5243963436</v>
      </c>
      <c r="H664" s="19">
        <f>H660-SUM(H661:H663)</f>
        <v>4468009.5992655978</v>
      </c>
      <c r="I664" s="19">
        <f>I660-SUM(I661:I663)</f>
        <v>14450679.708000001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474.31</v>
      </c>
      <c r="G665" s="248">
        <v>228.69</v>
      </c>
      <c r="H665" s="248">
        <v>261.64999999999998</v>
      </c>
      <c r="I665" s="19">
        <f>SUM(F665:H665)</f>
        <v>964.65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13803.56</v>
      </c>
      <c r="G667" s="19">
        <f>ROUND(G664/G665,2)</f>
        <v>15022.54</v>
      </c>
      <c r="H667" s="19">
        <f>ROUND(H664/H665,2)</f>
        <v>17076.28</v>
      </c>
      <c r="I667" s="19">
        <f>ROUND(I664/I665,2)</f>
        <v>14980.23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-16.329999999999998</v>
      </c>
      <c r="I670" s="19">
        <f>SUM(F670:H670)</f>
        <v>-16.329999999999998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13803.56</v>
      </c>
      <c r="G672" s="19">
        <f>ROUND((G664+G669)/(G665+G670),2)</f>
        <v>15022.54</v>
      </c>
      <c r="H672" s="19">
        <f>ROUND((H664+H669)/(H665+H670),2)</f>
        <v>18212.990000000002</v>
      </c>
      <c r="I672" s="19">
        <f>ROUND((I664+I669)/(I665+I670),2)</f>
        <v>15238.19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20" sqref="B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Epping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3967362.7899999996</v>
      </c>
      <c r="C9" s="229">
        <f>'DOE25'!G197+'DOE25'!G215+'DOE25'!G233+'DOE25'!G276+'DOE25'!G295+'DOE25'!G314</f>
        <v>1880863.6199999999</v>
      </c>
    </row>
    <row r="10" spans="1:3" x14ac:dyDescent="0.2">
      <c r="A10" t="s">
        <v>779</v>
      </c>
      <c r="B10" s="240">
        <v>3891187.64</v>
      </c>
      <c r="C10" s="240">
        <v>1874419.2</v>
      </c>
    </row>
    <row r="11" spans="1:3" x14ac:dyDescent="0.2">
      <c r="A11" t="s">
        <v>780</v>
      </c>
      <c r="B11" s="240">
        <v>76175.149999999994</v>
      </c>
      <c r="C11" s="240">
        <v>6444.42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3967362.79</v>
      </c>
      <c r="C13" s="231">
        <f>SUM(C10:C12)</f>
        <v>1880863.6199999999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1739608.63</v>
      </c>
      <c r="C18" s="229">
        <f>'DOE25'!G198+'DOE25'!G216+'DOE25'!G234+'DOE25'!G277+'DOE25'!G296+'DOE25'!G315</f>
        <v>712710.14</v>
      </c>
    </row>
    <row r="19" spans="1:3" x14ac:dyDescent="0.2">
      <c r="A19" t="s">
        <v>779</v>
      </c>
      <c r="B19" s="240">
        <v>986070.45</v>
      </c>
      <c r="C19" s="240">
        <v>648960.81000000006</v>
      </c>
    </row>
    <row r="20" spans="1:3" x14ac:dyDescent="0.2">
      <c r="A20" t="s">
        <v>780</v>
      </c>
      <c r="B20" s="240">
        <f>263.45+310308.92+56162.43+213053.08+173750.3</f>
        <v>753538.17999999993</v>
      </c>
      <c r="C20" s="240">
        <v>63749.33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1739608.63</v>
      </c>
      <c r="C22" s="231">
        <f>SUM(C19:C21)</f>
        <v>712710.14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223883.77999999997</v>
      </c>
      <c r="C36" s="235">
        <f>'DOE25'!G200+'DOE25'!G218+'DOE25'!G236+'DOE25'!G279+'DOE25'!G298+'DOE25'!G317</f>
        <v>33098.839999999997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223883.78</v>
      </c>
      <c r="C39" s="240">
        <v>33098.839999999997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223883.78</v>
      </c>
      <c r="C40" s="231">
        <f>SUM(C37:C39)</f>
        <v>33098.839999999997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Epping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9735171.3800000008</v>
      </c>
      <c r="D5" s="20">
        <f>SUM('DOE25'!L197:L200)+SUM('DOE25'!L215:L218)+SUM('DOE25'!L233:L236)-F5-G5</f>
        <v>9680365.1500000004</v>
      </c>
      <c r="E5" s="243"/>
      <c r="F5" s="255">
        <f>SUM('DOE25'!J197:J200)+SUM('DOE25'!J215:J218)+SUM('DOE25'!J233:J236)</f>
        <v>45680.850000000006</v>
      </c>
      <c r="G5" s="53">
        <f>SUM('DOE25'!K197:K200)+SUM('DOE25'!K215:K218)+SUM('DOE25'!K233:K236)</f>
        <v>9125.380000000001</v>
      </c>
      <c r="H5" s="259"/>
    </row>
    <row r="6" spans="1:9" x14ac:dyDescent="0.2">
      <c r="A6" s="32">
        <v>2100</v>
      </c>
      <c r="B6" t="s">
        <v>801</v>
      </c>
      <c r="C6" s="245">
        <f t="shared" si="0"/>
        <v>1288650.22</v>
      </c>
      <c r="D6" s="20">
        <f>'DOE25'!L202+'DOE25'!L220+'DOE25'!L238-F6-G6</f>
        <v>1285100.57</v>
      </c>
      <c r="E6" s="243"/>
      <c r="F6" s="255">
        <f>'DOE25'!J202+'DOE25'!J220+'DOE25'!J238</f>
        <v>3549.6499999999996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666156.65</v>
      </c>
      <c r="D7" s="20">
        <f>'DOE25'!L203+'DOE25'!L221+'DOE25'!L239-F7-G7</f>
        <v>581473.18000000005</v>
      </c>
      <c r="E7" s="243"/>
      <c r="F7" s="255">
        <f>'DOE25'!J203+'DOE25'!J221+'DOE25'!J239</f>
        <v>84583.47</v>
      </c>
      <c r="G7" s="53">
        <f>'DOE25'!K203+'DOE25'!K221+'DOE25'!K239</f>
        <v>100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485002.60999999993</v>
      </c>
      <c r="D8" s="243"/>
      <c r="E8" s="20">
        <f>'DOE25'!L204+'DOE25'!L222+'DOE25'!L240-F8-G8-D9-D11</f>
        <v>460707.68999999994</v>
      </c>
      <c r="F8" s="255">
        <f>'DOE25'!J204+'DOE25'!J222+'DOE25'!J240</f>
        <v>0</v>
      </c>
      <c r="G8" s="53">
        <f>'DOE25'!K204+'DOE25'!K222+'DOE25'!K240</f>
        <v>24294.920000000002</v>
      </c>
      <c r="H8" s="259"/>
    </row>
    <row r="9" spans="1:9" x14ac:dyDescent="0.2">
      <c r="A9" s="32">
        <v>2310</v>
      </c>
      <c r="B9" t="s">
        <v>818</v>
      </c>
      <c r="C9" s="245">
        <f t="shared" si="0"/>
        <v>67916.639999999999</v>
      </c>
      <c r="D9" s="244">
        <v>67916.639999999999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13895</v>
      </c>
      <c r="D10" s="243"/>
      <c r="E10" s="244">
        <v>13895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257239.72</v>
      </c>
      <c r="D11" s="244">
        <v>257239.72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1064316.3699999999</v>
      </c>
      <c r="D12" s="20">
        <f>'DOE25'!L205+'DOE25'!L223+'DOE25'!L241-F12-G12</f>
        <v>1030355.6999999998</v>
      </c>
      <c r="E12" s="243"/>
      <c r="F12" s="255">
        <f>'DOE25'!J205+'DOE25'!J223+'DOE25'!J241</f>
        <v>0</v>
      </c>
      <c r="G12" s="53">
        <f>'DOE25'!K205+'DOE25'!K223+'DOE25'!K241</f>
        <v>33960.67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1653395.54</v>
      </c>
      <c r="D14" s="20">
        <f>'DOE25'!L207+'DOE25'!L225+'DOE25'!L243-F14-G14</f>
        <v>1646651.18</v>
      </c>
      <c r="E14" s="243"/>
      <c r="F14" s="255">
        <f>'DOE25'!J207+'DOE25'!J225+'DOE25'!J243</f>
        <v>6744.3600000000006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699840.07000000007</v>
      </c>
      <c r="D15" s="20">
        <f>'DOE25'!L208+'DOE25'!L226+'DOE25'!L244-F15-G15</f>
        <v>699840.07000000007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902088.26</v>
      </c>
      <c r="D25" s="243"/>
      <c r="E25" s="243"/>
      <c r="F25" s="258"/>
      <c r="G25" s="256"/>
      <c r="H25" s="257">
        <f>'DOE25'!L260+'DOE25'!L261+'DOE25'!L341+'DOE25'!L342</f>
        <v>902088.26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252612.78</v>
      </c>
      <c r="D29" s="20">
        <f>'DOE25'!L358+'DOE25'!L359+'DOE25'!L360-'DOE25'!I367-F29-G29</f>
        <v>243079.63</v>
      </c>
      <c r="E29" s="243"/>
      <c r="F29" s="255">
        <f>'DOE25'!J358+'DOE25'!J359+'DOE25'!J360</f>
        <v>8088.15</v>
      </c>
      <c r="G29" s="53">
        <f>'DOE25'!K358+'DOE25'!K359+'DOE25'!K360</f>
        <v>1445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501766.43999999994</v>
      </c>
      <c r="D31" s="20">
        <f>'DOE25'!L290+'DOE25'!L309+'DOE25'!L328+'DOE25'!L333+'DOE25'!L334+'DOE25'!L335-F31-G31</f>
        <v>461288.61999999994</v>
      </c>
      <c r="E31" s="243"/>
      <c r="F31" s="255">
        <f>'DOE25'!J290+'DOE25'!J309+'DOE25'!J328+'DOE25'!J333+'DOE25'!J334+'DOE25'!J335</f>
        <v>40477.82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15953310.460000001</v>
      </c>
      <c r="E33" s="246">
        <f>SUM(E5:E31)</f>
        <v>474602.68999999994</v>
      </c>
      <c r="F33" s="246">
        <f>SUM(F5:F31)</f>
        <v>189124.30000000002</v>
      </c>
      <c r="G33" s="246">
        <f>SUM(G5:G31)</f>
        <v>68925.97</v>
      </c>
      <c r="H33" s="246">
        <f>SUM(H5:H31)</f>
        <v>902088.26</v>
      </c>
    </row>
    <row r="35" spans="2:8" ht="12" thickBot="1" x14ac:dyDescent="0.25">
      <c r="B35" s="253" t="s">
        <v>847</v>
      </c>
      <c r="D35" s="254">
        <f>E33</f>
        <v>474602.68999999994</v>
      </c>
      <c r="E35" s="249"/>
    </row>
    <row r="36" spans="2:8" ht="12" thickTop="1" x14ac:dyDescent="0.2">
      <c r="B36" t="s">
        <v>815</v>
      </c>
      <c r="D36" s="20">
        <f>D33</f>
        <v>15953310.460000001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615448.14</v>
      </c>
      <c r="D8" s="95">
        <f>'DOE25'!G9</f>
        <v>170556.01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100205.35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247103.04</v>
      </c>
      <c r="D11" s="95">
        <f>'DOE25'!G12</f>
        <v>0</v>
      </c>
      <c r="E11" s="95">
        <f>'DOE25'!H12</f>
        <v>3590.06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24783.95</v>
      </c>
      <c r="D12" s="95">
        <f>'DOE25'!G13</f>
        <v>1139.8900000000001</v>
      </c>
      <c r="E12" s="95">
        <f>'DOE25'!H13</f>
        <v>135329.18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10775.46</v>
      </c>
      <c r="D13" s="95">
        <f>'DOE25'!G14</f>
        <v>16854.84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115533.84</v>
      </c>
      <c r="D16" s="95">
        <f>'DOE25'!G17</f>
        <v>1384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1013644.4299999999</v>
      </c>
      <c r="D18" s="41">
        <f>SUM(D8:D17)</f>
        <v>189934.74000000002</v>
      </c>
      <c r="E18" s="41">
        <f>SUM(E8:E17)</f>
        <v>138919.24</v>
      </c>
      <c r="F18" s="41">
        <f>SUM(F8:F17)</f>
        <v>0</v>
      </c>
      <c r="G18" s="41">
        <f>SUM(G8:G17)</f>
        <v>100205.35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3590.06</v>
      </c>
      <c r="D21" s="95">
        <f>'DOE25'!G22</f>
        <v>121199.21</v>
      </c>
      <c r="E21" s="95">
        <f>'DOE25'!H22</f>
        <v>125903.83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208644.73</v>
      </c>
      <c r="D23" s="95">
        <f>'DOE25'!G24</f>
        <v>0</v>
      </c>
      <c r="E23" s="95">
        <f>'DOE25'!H24</f>
        <v>4369.45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436511.15</v>
      </c>
      <c r="D27" s="95">
        <f>'DOE25'!G28</f>
        <v>5348.61</v>
      </c>
      <c r="E27" s="95">
        <f>'DOE25'!H28</f>
        <v>5055.8999999999996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7420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656165.94000000006</v>
      </c>
      <c r="D31" s="41">
        <f>SUM(D21:D30)</f>
        <v>126547.82</v>
      </c>
      <c r="E31" s="41">
        <f>SUM(E21:E30)</f>
        <v>135329.18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170497.49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63386.920000000006</v>
      </c>
      <c r="E47" s="95">
        <f>'DOE25'!H48</f>
        <v>3590.06</v>
      </c>
      <c r="F47" s="95">
        <f>'DOE25'!I48</f>
        <v>0</v>
      </c>
      <c r="G47" s="95">
        <f>'DOE25'!J48</f>
        <v>100205.35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136981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357478.49</v>
      </c>
      <c r="D50" s="41">
        <f>SUM(D34:D49)</f>
        <v>63386.920000000006</v>
      </c>
      <c r="E50" s="41">
        <f>SUM(E34:E49)</f>
        <v>3590.06</v>
      </c>
      <c r="F50" s="41">
        <f>SUM(F34:F49)</f>
        <v>0</v>
      </c>
      <c r="G50" s="41">
        <f>SUM(G34:G49)</f>
        <v>100205.35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1013644.43</v>
      </c>
      <c r="D51" s="41">
        <f>D50+D31</f>
        <v>189934.74000000002</v>
      </c>
      <c r="E51" s="41">
        <f>E50+E31</f>
        <v>138919.24</v>
      </c>
      <c r="F51" s="41">
        <f>F50+F31</f>
        <v>0</v>
      </c>
      <c r="G51" s="41">
        <f>G50+G31</f>
        <v>100205.35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10825639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109392.17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139.07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212710.08000000002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281399.71999999997</v>
      </c>
      <c r="D61" s="95">
        <f>SUM('DOE25'!G98:G110)</f>
        <v>0</v>
      </c>
      <c r="E61" s="95">
        <f>SUM('DOE25'!H98:H110)</f>
        <v>11785.95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390791.88999999996</v>
      </c>
      <c r="D62" s="130">
        <f>SUM(D57:D61)</f>
        <v>212710.08000000002</v>
      </c>
      <c r="E62" s="130">
        <f>SUM(E57:E61)</f>
        <v>11785.95</v>
      </c>
      <c r="F62" s="130">
        <f>SUM(F57:F61)</f>
        <v>0</v>
      </c>
      <c r="G62" s="130">
        <f>SUM(G57:G61)</f>
        <v>139.07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11216430.890000001</v>
      </c>
      <c r="D63" s="22">
        <f>D56+D62</f>
        <v>212710.08000000002</v>
      </c>
      <c r="E63" s="22">
        <f>E56+E62</f>
        <v>11785.95</v>
      </c>
      <c r="F63" s="22">
        <f>F56+F62</f>
        <v>0</v>
      </c>
      <c r="G63" s="22">
        <f>G56+G62</f>
        <v>139.07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3376041.83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1479802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4855843.83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231874.6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127078.39999999999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10464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5192.21</v>
      </c>
      <c r="E77" s="95">
        <f>SUM('DOE25'!H131:H135)</f>
        <v>3825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369417</v>
      </c>
      <c r="D78" s="130">
        <f>SUM(D72:D77)</f>
        <v>5192.21</v>
      </c>
      <c r="E78" s="130">
        <f>SUM(E72:E77)</f>
        <v>3825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5225260.83</v>
      </c>
      <c r="D81" s="130">
        <f>SUM(D79:D80)+D78+D70</f>
        <v>5192.21</v>
      </c>
      <c r="E81" s="130">
        <f>SUM(E79:E80)+E78+E70</f>
        <v>3825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236007.54</v>
      </c>
      <c r="D88" s="95">
        <f>SUM('DOE25'!G153:G161)</f>
        <v>169490.06</v>
      </c>
      <c r="E88" s="95">
        <f>SUM('DOE25'!H153:H161)</f>
        <v>553683.91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236007.54</v>
      </c>
      <c r="D91" s="131">
        <f>SUM(D85:D90)</f>
        <v>169490.06</v>
      </c>
      <c r="E91" s="131">
        <f>SUM(E85:E90)</f>
        <v>553683.91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16677699.26</v>
      </c>
      <c r="D104" s="86">
        <f>D63+D81+D91+D103</f>
        <v>387392.35</v>
      </c>
      <c r="E104" s="86">
        <f>E63+E81+E91+E103</f>
        <v>569294.86</v>
      </c>
      <c r="F104" s="86">
        <f>F63+F81+F91+F103</f>
        <v>0</v>
      </c>
      <c r="G104" s="86">
        <f>G63+G81+G103</f>
        <v>50139.07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5896410.8300000001</v>
      </c>
      <c r="D109" s="24" t="s">
        <v>289</v>
      </c>
      <c r="E109" s="95">
        <f>('DOE25'!L276)+('DOE25'!L295)+('DOE25'!L314)</f>
        <v>138178.9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3381592.18</v>
      </c>
      <c r="D110" s="24" t="s">
        <v>289</v>
      </c>
      <c r="E110" s="95">
        <f>('DOE25'!L277)+('DOE25'!L296)+('DOE25'!L315)</f>
        <v>175522.6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110900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346268.37</v>
      </c>
      <c r="D112" s="24" t="s">
        <v>289</v>
      </c>
      <c r="E112" s="95">
        <f>+('DOE25'!L279)+('DOE25'!L298)+('DOE25'!L317)</f>
        <v>2935.95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9735171.379999999</v>
      </c>
      <c r="D115" s="86">
        <f>SUM(D109:D114)</f>
        <v>0</v>
      </c>
      <c r="E115" s="86">
        <f>SUM(E109:E114)</f>
        <v>316637.45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1288650.22</v>
      </c>
      <c r="D118" s="24" t="s">
        <v>289</v>
      </c>
      <c r="E118" s="95">
        <f>+('DOE25'!L281)+('DOE25'!L300)+('DOE25'!L319)</f>
        <v>27414.22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666156.65</v>
      </c>
      <c r="D119" s="24" t="s">
        <v>289</v>
      </c>
      <c r="E119" s="95">
        <f>+('DOE25'!L282)+('DOE25'!L301)+('DOE25'!L320)</f>
        <v>154127.04999999999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810158.97</v>
      </c>
      <c r="D120" s="24" t="s">
        <v>289</v>
      </c>
      <c r="E120" s="95">
        <f>+('DOE25'!L283)+('DOE25'!L302)+('DOE25'!L321)</f>
        <v>3587.72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1064316.3699999999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1653395.54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699840.07000000007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391980.39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6182517.8200000003</v>
      </c>
      <c r="D128" s="86">
        <f>SUM(D118:D127)</f>
        <v>391980.39</v>
      </c>
      <c r="E128" s="86">
        <f>SUM(E118:E127)</f>
        <v>185128.99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545000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357088.26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66674.790000000008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50139.07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-139.06999999999971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952088.26</v>
      </c>
      <c r="D144" s="141">
        <f>SUM(D130:D143)</f>
        <v>0</v>
      </c>
      <c r="E144" s="141">
        <f>SUM(E130:E143)</f>
        <v>66674.790000000008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16869777.460000001</v>
      </c>
      <c r="D145" s="86">
        <f>(D115+D128+D144)</f>
        <v>391980.39</v>
      </c>
      <c r="E145" s="86">
        <f>(E115+E128+E144)</f>
        <v>568441.23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08/15/2005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08/15/2025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12072350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8555000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8555000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545000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545000</v>
      </c>
    </row>
    <row r="159" spans="1:9" x14ac:dyDescent="0.2">
      <c r="A159" s="22" t="s">
        <v>35</v>
      </c>
      <c r="B159" s="137">
        <f>'DOE25'!F498</f>
        <v>8010000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8010000</v>
      </c>
    </row>
    <row r="160" spans="1:9" x14ac:dyDescent="0.2">
      <c r="A160" s="22" t="s">
        <v>36</v>
      </c>
      <c r="B160" s="137">
        <f>'DOE25'!F499</f>
        <v>2143930.09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2143930.09</v>
      </c>
    </row>
    <row r="161" spans="1:7" x14ac:dyDescent="0.2">
      <c r="A161" s="22" t="s">
        <v>37</v>
      </c>
      <c r="B161" s="137">
        <f>'DOE25'!F500</f>
        <v>10153930.09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10153930.09</v>
      </c>
    </row>
    <row r="162" spans="1:7" x14ac:dyDescent="0.2">
      <c r="A162" s="22" t="s">
        <v>38</v>
      </c>
      <c r="B162" s="137">
        <f>'DOE25'!F501</f>
        <v>575000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575000</v>
      </c>
    </row>
    <row r="163" spans="1:7" x14ac:dyDescent="0.2">
      <c r="A163" s="22" t="s">
        <v>39</v>
      </c>
      <c r="B163" s="137">
        <f>'DOE25'!F502</f>
        <v>329088.26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329088.26</v>
      </c>
    </row>
    <row r="164" spans="1:7" x14ac:dyDescent="0.2">
      <c r="A164" s="22" t="s">
        <v>246</v>
      </c>
      <c r="B164" s="137">
        <f>'DOE25'!F503</f>
        <v>904088.26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904088.26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Epping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13804</v>
      </c>
    </row>
    <row r="5" spans="1:4" x14ac:dyDescent="0.2">
      <c r="B5" t="s">
        <v>704</v>
      </c>
      <c r="C5" s="179">
        <f>IF('DOE25'!G665+'DOE25'!G670=0,0,ROUND('DOE25'!G672,0))</f>
        <v>15023</v>
      </c>
    </row>
    <row r="6" spans="1:4" x14ac:dyDescent="0.2">
      <c r="B6" t="s">
        <v>62</v>
      </c>
      <c r="C6" s="179">
        <f>IF('DOE25'!H665+'DOE25'!H670=0,0,ROUND('DOE25'!H672,0))</f>
        <v>18213</v>
      </c>
    </row>
    <row r="7" spans="1:4" x14ac:dyDescent="0.2">
      <c r="B7" t="s">
        <v>705</v>
      </c>
      <c r="C7" s="179">
        <f>IF('DOE25'!I665+'DOE25'!I670=0,0,ROUND('DOE25'!I672,0))</f>
        <v>15238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6034590</v>
      </c>
      <c r="D10" s="182">
        <f>ROUND((C10/$C$28)*100,1)</f>
        <v>35.6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3557115</v>
      </c>
      <c r="D11" s="182">
        <f>ROUND((C11/$C$28)*100,1)</f>
        <v>21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110900</v>
      </c>
      <c r="D12" s="182">
        <f>ROUND((C12/$C$28)*100,1)</f>
        <v>0.7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349204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1316064</v>
      </c>
      <c r="D15" s="182">
        <f t="shared" ref="D15:D27" si="0">ROUND((C15/$C$28)*100,1)</f>
        <v>7.8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820284</v>
      </c>
      <c r="D16" s="182">
        <f t="shared" si="0"/>
        <v>4.8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813747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1064316</v>
      </c>
      <c r="D18" s="182">
        <f t="shared" si="0"/>
        <v>6.3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1653396</v>
      </c>
      <c r="D20" s="182">
        <f t="shared" si="0"/>
        <v>9.8000000000000007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699840</v>
      </c>
      <c r="D21" s="182">
        <f t="shared" si="0"/>
        <v>4.0999999999999996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357088</v>
      </c>
      <c r="D25" s="182">
        <f t="shared" si="0"/>
        <v>2.1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179269.91999999998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16955813.920000002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16955813.920000002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545000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10825639</v>
      </c>
      <c r="D35" s="182">
        <f t="shared" ref="D35:D40" si="1">ROUND((C35/$C$41)*100,1)</f>
        <v>62.1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402716.91000000015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4855844</v>
      </c>
      <c r="D37" s="182">
        <f t="shared" si="1"/>
        <v>27.9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378434</v>
      </c>
      <c r="D38" s="182">
        <f t="shared" si="1"/>
        <v>2.2000000000000002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959182</v>
      </c>
      <c r="D39" s="182">
        <f t="shared" si="1"/>
        <v>5.5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17421815.91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4" sqref="C4:M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Epping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74">
        <v>3</v>
      </c>
      <c r="B4" s="275">
        <v>24</v>
      </c>
      <c r="C4" s="286" t="s">
        <v>916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C4:M4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2015-08-26T12:59:06Z</cp:lastPrinted>
  <dcterms:created xsi:type="dcterms:W3CDTF">1997-12-04T19:04:30Z</dcterms:created>
  <dcterms:modified xsi:type="dcterms:W3CDTF">2015-11-25T16:09:02Z</dcterms:modified>
</cp:coreProperties>
</file>