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6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I460" i="1"/>
  <c r="I461" i="1" s="1"/>
  <c r="H642" i="1" s="1"/>
  <c r="H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164" i="2"/>
  <c r="C26" i="10"/>
  <c r="L328" i="1"/>
  <c r="L351" i="1"/>
  <c r="A31" i="12"/>
  <c r="C70" i="2"/>
  <c r="D18" i="13"/>
  <c r="C18" i="13" s="1"/>
  <c r="D18" i="2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571" i="1"/>
  <c r="K571" i="1"/>
  <c r="L433" i="1"/>
  <c r="L419" i="1"/>
  <c r="I169" i="1"/>
  <c r="J643" i="1"/>
  <c r="J476" i="1"/>
  <c r="H626" i="1" s="1"/>
  <c r="H476" i="1"/>
  <c r="H624" i="1" s="1"/>
  <c r="J624" i="1" s="1"/>
  <c r="I476" i="1"/>
  <c r="H625" i="1" s="1"/>
  <c r="J625" i="1" s="1"/>
  <c r="G338" i="1"/>
  <c r="G352" i="1" s="1"/>
  <c r="J140" i="1"/>
  <c r="I552" i="1"/>
  <c r="K550" i="1"/>
  <c r="G22" i="2"/>
  <c r="K598" i="1"/>
  <c r="G647" i="1" s="1"/>
  <c r="K545" i="1"/>
  <c r="H552" i="1"/>
  <c r="C29" i="10"/>
  <c r="H140" i="1"/>
  <c r="L401" i="1"/>
  <c r="C139" i="2" s="1"/>
  <c r="A13" i="12"/>
  <c r="F22" i="13"/>
  <c r="J651" i="1"/>
  <c r="H571" i="1"/>
  <c r="L560" i="1"/>
  <c r="J545" i="1"/>
  <c r="H338" i="1"/>
  <c r="H352" i="1" s="1"/>
  <c r="G192" i="1"/>
  <c r="H192" i="1"/>
  <c r="L309" i="1"/>
  <c r="E16" i="13"/>
  <c r="J655" i="1"/>
  <c r="J645" i="1"/>
  <c r="L570" i="1"/>
  <c r="I571" i="1"/>
  <c r="I545" i="1"/>
  <c r="J636" i="1"/>
  <c r="G36" i="2"/>
  <c r="L565" i="1"/>
  <c r="C22" i="13"/>
  <c r="C16" i="13"/>
  <c r="A40" i="12" l="1"/>
  <c r="J644" i="1"/>
  <c r="J639" i="1"/>
  <c r="C11" i="10"/>
  <c r="L247" i="1"/>
  <c r="H660" i="1" s="1"/>
  <c r="C15" i="10"/>
  <c r="C118" i="2"/>
  <c r="K549" i="1"/>
  <c r="L544" i="1"/>
  <c r="L529" i="1"/>
  <c r="K551" i="1"/>
  <c r="F552" i="1"/>
  <c r="L524" i="1"/>
  <c r="L545" i="1" s="1"/>
  <c r="K552" i="1"/>
  <c r="J634" i="1"/>
  <c r="J622" i="1"/>
  <c r="H25" i="13"/>
  <c r="C25" i="13" s="1"/>
  <c r="C132" i="2"/>
  <c r="K271" i="1"/>
  <c r="L362" i="1"/>
  <c r="G635" i="1" s="1"/>
  <c r="J635" i="1" s="1"/>
  <c r="E115" i="2"/>
  <c r="H257" i="1"/>
  <c r="H271" i="1" s="1"/>
  <c r="C21" i="10"/>
  <c r="G649" i="1"/>
  <c r="J649" i="1" s="1"/>
  <c r="F662" i="1"/>
  <c r="I662" i="1" s="1"/>
  <c r="H647" i="1"/>
  <c r="J647" i="1" s="1"/>
  <c r="D15" i="13"/>
  <c r="C15" i="13" s="1"/>
  <c r="C110" i="2"/>
  <c r="E31" i="2"/>
  <c r="H52" i="1"/>
  <c r="H619" i="1" s="1"/>
  <c r="G661" i="1"/>
  <c r="H661" i="1"/>
  <c r="C10" i="10"/>
  <c r="C18" i="10"/>
  <c r="D5" i="13"/>
  <c r="C5" i="13" s="1"/>
  <c r="D31" i="2"/>
  <c r="D51" i="2" s="1"/>
  <c r="F661" i="1"/>
  <c r="D127" i="2"/>
  <c r="D128" i="2" s="1"/>
  <c r="D145" i="2" s="1"/>
  <c r="E128" i="2"/>
  <c r="E145" i="2" s="1"/>
  <c r="L290" i="1"/>
  <c r="L211" i="1"/>
  <c r="C121" i="2"/>
  <c r="E33" i="13"/>
  <c r="D35" i="13" s="1"/>
  <c r="C17" i="10"/>
  <c r="C120" i="2"/>
  <c r="C109" i="2"/>
  <c r="C81" i="2"/>
  <c r="F112" i="1"/>
  <c r="C35" i="10"/>
  <c r="C56" i="2"/>
  <c r="C63" i="2" s="1"/>
  <c r="C104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H646" i="1" l="1"/>
  <c r="J646" i="1" s="1"/>
  <c r="H664" i="1"/>
  <c r="H667" i="1" s="1"/>
  <c r="C115" i="2"/>
  <c r="D31" i="13"/>
  <c r="C31" i="13" s="1"/>
  <c r="H33" i="13"/>
  <c r="I661" i="1"/>
  <c r="C128" i="2"/>
  <c r="C145" i="2" s="1"/>
  <c r="E51" i="2"/>
  <c r="G664" i="1"/>
  <c r="G667" i="1" s="1"/>
  <c r="L338" i="1"/>
  <c r="L352" i="1" s="1"/>
  <c r="G633" i="1" s="1"/>
  <c r="J633" i="1" s="1"/>
  <c r="C28" i="10"/>
  <c r="D24" i="10" s="1"/>
  <c r="F660" i="1"/>
  <c r="F664" i="1" s="1"/>
  <c r="F667" i="1" s="1"/>
  <c r="L257" i="1"/>
  <c r="L271" i="1" s="1"/>
  <c r="G632" i="1" s="1"/>
  <c r="J632" i="1" s="1"/>
  <c r="C36" i="10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I660" i="1"/>
  <c r="I664" i="1" s="1"/>
  <c r="I672" i="1" s="1"/>
  <c r="C7" i="10" s="1"/>
  <c r="G672" i="1"/>
  <c r="C5" i="10" s="1"/>
  <c r="F672" i="1"/>
  <c r="C4" i="10" s="1"/>
  <c r="D10" i="10"/>
  <c r="D20" i="10"/>
  <c r="D13" i="10"/>
  <c r="C30" i="10"/>
  <c r="D25" i="10"/>
  <c r="D21" i="10"/>
  <c r="D23" i="10"/>
  <c r="D15" i="10"/>
  <c r="D19" i="10"/>
  <c r="D18" i="10"/>
  <c r="D12" i="10"/>
  <c r="D26" i="10"/>
  <c r="D16" i="10"/>
  <c r="D11" i="10"/>
  <c r="D22" i="10"/>
  <c r="D27" i="10"/>
  <c r="D17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<sst xmlns="http://schemas.openxmlformats.org/spreadsheetml/2006/main" count="3958" uniqueCount="913">
  <si>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</si>
  <si>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</si>
  <si>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</si>
  <si>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</si>
  <si>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</si>
  <si>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</si>
  <si>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</si>
  <si>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</si>
  <si>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</si>
  <si>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</si>
  <si>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</si>
  <si>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</si>
  <si>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</si>
  <si>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</si>
  <si>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</si>
  <si>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</si>
  <si>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</si>
  <si>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</si>
  <si>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</si>
  <si>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</si>
  <si>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</si>
  <si>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</si>
  <si>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</si>
  <si>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</si>
  <si>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</si>
  <si>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</si>
  <si>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</si>
  <si>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</si>
  <si>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</si>
  <si>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</si>
  <si>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</si>
  <si>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</si>
  <si>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</si>
  <si>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</si>
  <si>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</si>
  <si>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</si>
  <si>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</si>
  <si>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</si>
  <si>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</si>
  <si>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</si>
  <si>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</si>
  <si>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</si>
  <si>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</si>
  <si>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</si>
  <si>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</si>
  <si>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</si>
  <si>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</si>
  <si>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</si>
  <si>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</si>
  <si>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</si>
  <si>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</si>
  <si>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</si>
  <si>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</si>
  <si>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</si>
  <si>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</si>
  <si>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</si>
  <si>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</si>
  <si>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</si>
  <si>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</si>
  <si>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</si>
  <si>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</si>
  <si>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</si>
  <si>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</si>
  <si>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</si>
  <si>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</si>
  <si>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</si>
  <si>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</si>
  <si>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</si>
  <si>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</si>
  <si>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</si>
  <si>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</si>
  <si>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</si>
  <si>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</si>
  <si>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</si>
  <si>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</si>
  <si>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</si>
  <si>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</si>
  <si>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</si>
  <si>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</si>
  <si>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</si>
  <si>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</si>
  <si>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</si>
  <si>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</si>
  <si>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</si>
  <si>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</si>
  <si>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</si>
  <si>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</si>
  <si>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</si>
  <si>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</si>
  <si>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</si>
  <si>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</si>
  <si>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</si>
  <si>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</si>
  <si>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</si>
  <si>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</si>
  <si>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</si>
  <si>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</si>
  <si>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</si>
  <si>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</si>
  <si>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</si>
  <si>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</si>
  <si>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</si>
  <si>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</si>
  <si>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</si>
  <si>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</si>
  <si>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</si>
  <si>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</si>
  <si>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</si>
  <si>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</si>
  <si>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</si>
  <si>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</si>
  <si>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</si>
  <si>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</si>
  <si>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</si>
  <si>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</si>
  <si>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</si>
  <si>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</si>
  <si>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</si>
  <si>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</si>
  <si>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</si>
  <si>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</si>
  <si>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</si>
  <si>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</si>
  <si>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</si>
  <si>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</si>
  <si>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</si>
  <si>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</si>
  <si>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</si>
  <si>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</si>
  <si>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</si>
  <si>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</si>
  <si>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</si>
  <si>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</si>
  <si>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</si>
  <si>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</si>
  <si>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</si>
  <si>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</si>
  <si>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</si>
  <si>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</si>
  <si>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</si>
  <si>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</si>
  <si>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</si>
  <si>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</si>
  <si>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</si>
  <si>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</si>
  <si>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</si>
  <si>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</si>
  <si>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</si>
  <si>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</si>
  <si>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</si>
  <si>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</si>
  <si>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</si>
  <si>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</si>
  <si>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</si>
  <si>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</si>
  <si>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</si>
  <si>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</si>
  <si>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</si>
  <si>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</si>
  <si>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</si>
  <si>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</si>
  <si>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</si>
  <si>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</si>
  <si>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</si>
  <si>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</si>
  <si>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</si>
  <si>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</si>
  <si>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</si>
  <si>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</si>
  <si>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</si>
  <si>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</si>
  <si>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</si>
  <si>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</si>
  <si>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</si>
  <si>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</si>
  <si>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</si>
  <si>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</si>
  <si>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</si>
  <si>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</si>
  <si>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</si>
  <si>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</si>
  <si>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</si>
  <si>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</si>
  <si>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</si>
  <si>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</si>
  <si>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</si>
  <si>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</si>
  <si>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</si>
  <si>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</si>
  <si>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</si>
  <si>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</si>
  <si>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</si>
  <si>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</si>
  <si>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</si>
  <si>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</si>
  <si>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</si>
  <si>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</si>
  <si>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</si>
  <si>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</si>
  <si>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</si>
  <si>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</si>
  <si>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</si>
  <si>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</si>
  <si>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</si>
  <si>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</si>
  <si>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</si>
  <si>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</si>
  <si>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</si>
  <si>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</si>
  <si>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</si>
  <si>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</si>
  <si>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</si>
  <si>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</si>
  <si>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</si>
  <si>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</si>
  <si>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</si>
  <si>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</si>
  <si>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</si>
  <si>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</si>
  <si>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</si>
  <si>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</si>
  <si>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</si>
  <si>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</si>
  <si>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</si>
  <si>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</si>
  <si>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</si>
  <si>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</si>
  <si>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</si>
  <si>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</si>
  <si>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</si>
  <si>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</si>
  <si>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</si>
  <si>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</si>
  <si>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</si>
  <si>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</si>
  <si>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</si>
  <si>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</si>
  <si>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</si>
  <si>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</si>
  <si>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</si>
  <si>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</si>
  <si>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</si>
  <si>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</si>
  <si>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</si>
  <si>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</si>
  <si>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</si>
  <si>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</si>
  <si>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</si>
  <si>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</si>
  <si>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</si>
  <si>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</si>
  <si>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</si>
  <si>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</si>
  <si>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</si>
  <si>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</si>
  <si>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</si>
  <si>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</si>
  <si>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</si>
  <si>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</si>
  <si>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</si>
  <si>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</si>
  <si>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</si>
  <si>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</si>
  <si>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</si>
  <si>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</si>
  <si>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</si>
  <si>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</si>
  <si>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</si>
  <si>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</si>
  <si>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</si>
  <si>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</si>
  <si>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</si>
  <si>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</si>
  <si>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</si>
  <si>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</si>
  <si>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</si>
  <si>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</si>
  <si>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</si>
  <si>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</si>
  <si>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</si>
  <si>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</si>
  <si>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</si>
  <si>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</si>
  <si>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</si>
  <si>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</si>
  <si>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</si>
  <si>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</si>
  <si>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</si>
  <si>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</si>
  <si>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</si>
  <si>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</si>
  <si>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</si>
  <si>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</si>
  <si>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</si>
  <si>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</si>
  <si>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</si>
  <si>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</si>
  <si>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</si>
  <si>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</si>
  <si>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</si>
  <si>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</si>
  <si>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</si>
  <si>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</si>
  <si>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</si>
  <si>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</si>
  <si>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</si>
  <si>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</si>
  <si>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</si>
  <si>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</si>
  <si>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</si>
  <si>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</si>
  <si>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</si>
  <si>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</si>
  <si>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</si>
  <si>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</si>
  <si>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</si>
  <si>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</si>
  <si>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</si>
  <si>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</si>
  <si>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</si>
  <si>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</si>
  <si>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</si>
  <si>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</si>
  <si>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</si>
  <si>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</si>
  <si>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</si>
  <si>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</si>
  <si>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</si>
  <si>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</si>
  <si>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</si>
  <si>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</si>
  <si>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</si>
  <si>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</si>
  <si>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</si>
  <si>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</si>
  <si>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</si>
  <si>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</si>
  <si>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</si>
  <si>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</si>
  <si>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</si>
  <si>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</si>
  <si>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</si>
  <si>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</si>
  <si>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</si>
  <si>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</si>
  <si>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</si>
  <si>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</si>
  <si>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</si>
  <si>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</si>
  <si>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</si>
  <si>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</si>
  <si>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</si>
  <si>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</si>
  <si>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</si>
  <si>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</si>
  <si>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</si>
  <si>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</si>
  <si>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</si>
  <si>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</si>
  <si>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</si>
  <si>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</si>
  <si>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</si>
  <si>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</si>
  <si>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</si>
  <si>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</si>
  <si>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</si>
  <si>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</si>
  <si>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</si>
  <si>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</si>
  <si>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</si>
  <si>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</si>
  <si>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</si>
  <si>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</si>
  <si>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</si>
  <si>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</si>
  <si>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</si>
  <si>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</si>
  <si>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</si>
  <si>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</si>
  <si>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</si>
  <si>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</si>
  <si>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</si>
  <si>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</si>
  <si>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</si>
  <si>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</si>
  <si>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</si>
  <si>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</si>
  <si>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</si>
  <si>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</si>
  <si>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</si>
  <si>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</si>
  <si>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</si>
  <si>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</si>
  <si>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</si>
  <si>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</si>
  <si>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</si>
  <si>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</si>
  <si>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</si>
  <si>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</si>
  <si>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</si>
  <si>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</si>
  <si>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</si>
  <si>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</si>
  <si>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</si>
  <si>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</si>
  <si>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</si>
  <si>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</si>
  <si>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</si>
  <si>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</si>
  <si>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</si>
  <si>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</si>
  <si>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</si>
  <si>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</si>
  <si>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</si>
  <si>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</si>
  <si>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</si>
  <si>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</si>
  <si>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</si>
  <si>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</si>
  <si>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</si>
  <si>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</si>
  <si>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</si>
  <si>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</si>
  <si>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</si>
  <si>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</si>
  <si>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</si>
  <si>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</si>
  <si>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</si>
  <si>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</si>
  <si>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</si>
  <si>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</si>
  <si>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</si>
  <si>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</si>
  <si>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</si>
  <si>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</si>
  <si>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</si>
  <si>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</si>
  <si>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</si>
  <si>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</si>
  <si>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</si>
  <si>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</si>
  <si>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</si>
  <si>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</si>
  <si>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</si>
  <si>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</si>
  <si>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</si>
  <si>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</si>
  <si>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</si>
  <si>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</si>
  <si>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</si>
  <si>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</si>
  <si>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</si>
  <si>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</si>
  <si>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</si>
  <si>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</si>
  <si>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</si>
  <si>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</si>
  <si>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</si>
  <si>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</si>
  <si>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</si>
  <si>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</si>
  <si>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</si>
  <si>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</si>
  <si>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</si>
  <si>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</si>
  <si>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</si>
  <si>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</si>
  <si>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</si>
  <si>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</si>
  <si>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</si>
  <si>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</si>
  <si>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</si>
  <si>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</si>
  <si>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</si>
  <si>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</si>
  <si>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</si>
  <si>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</si>
  <si>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</si>
  <si>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</si>
  <si>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</si>
  <si>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</si>
  <si>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</si>
  <si>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</si>
  <si>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</si>
  <si>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</si>
  <si>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</si>
  <si>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</si>
  <si>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</si>
  <si>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</si>
  <si>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</si>
  <si>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</si>
  <si>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</si>
  <si>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</si>
  <si>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</si>
  <si>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</si>
  <si>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</si>
  <si>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</si>
  <si>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</si>
  <si>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</si>
  <si>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</si>
  <si>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</si>
  <si>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</si>
  <si>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</si>
  <si>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</si>
  <si>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</si>
  <si>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</si>
  <si>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</si>
  <si>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</si>
  <si>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</si>
  <si>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</si>
  <si>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</si>
  <si>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</si>
  <si>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</si>
  <si>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</si>
  <si>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</si>
  <si>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</si>
  <si>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</si>
  <si>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</si>
  <si>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</si>
  <si>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</si>
  <si>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</si>
  <si>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</si>
  <si>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</si>
  <si>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</si>
  <si>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</si>
  <si>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</si>
  <si>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</si>
  <si>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</si>
  <si>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</si>
  <si>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</si>
  <si>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</si>
  <si>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</si>
  <si>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</si>
  <si>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</si>
  <si>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</si>
  <si>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</si>
  <si>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</si>
  <si>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</si>
  <si>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</si>
  <si>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</si>
  <si>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</si>
  <si>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</si>
  <si>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</si>
  <si>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</si>
  <si>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</si>
  <si>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</si>
  <si>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</si>
  <si>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</si>
  <si>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</si>
  <si>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</si>
  <si>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</si>
  <si>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</si>
  <si>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</si>
  <si>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</si>
  <si>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</si>
  <si>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</si>
  <si>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</si>
  <si>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</si>
  <si>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</si>
  <si>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</si>
  <si>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</si>
  <si>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</si>
  <si>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</si>
  <si>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</si>
  <si>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</si>
  <si>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</si>
  <si>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</si>
  <si>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</si>
  <si>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</si>
  <si>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</si>
  <si>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</si>
  <si>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</si>
  <si>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</si>
  <si>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</si>
  <si>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</si>
  <si>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</si>
  <si>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</si>
  <si>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</si>
  <si>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</si>
  <si>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</si>
  <si>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</si>
  <si>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</si>
  <si>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</si>
  <si>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</si>
  <si>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</si>
  <si>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</si>
  <si>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</si>
  <si>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</si>
  <si>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</si>
  <si>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</si>
  <si>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</si>
  <si>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</si>
  <si>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</si>
  <si>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</si>
  <si>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</si>
  <si>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</si>
  <si>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</si>
  <si>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</si>
  <si>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</si>
  <si>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</si>
  <si>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</si>
  <si>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</si>
  <si>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</si>
  <si>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</si>
  <si>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</si>
  <si>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</si>
  <si>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</si>
  <si>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</si>
  <si>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</si>
  <si>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</si>
  <si>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</si>
  <si>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</si>
  <si>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</si>
  <si>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</si>
  <si>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</si>
  <si>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</si>
  <si>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</si>
  <si>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</si>
  <si>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</si>
  <si>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</si>
  <si>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</si>
  <si>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</si>
  <si>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</si>
  <si>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</si>
  <si>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</si>
  <si>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</si>
  <si>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</si>
  <si>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</si>
  <si>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</si>
  <si>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</si>
  <si>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</si>
  <si>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</si>
  <si>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</si>
  <si>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</si>
  <si>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</si>
  <si>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</si>
  <si>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</si>
  <si>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</si>
  <si>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</si>
  <si>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</si>
  <si>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</si>
  <si>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</si>
  <si>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</si>
  <si>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</si>
  <si>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</si>
  <si>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</si>
  <si>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</si>
  <si>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</si>
  <si>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</si>
  <si>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</si>
  <si>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</si>
  <si>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</si>
  <si>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</si>
  <si>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</si>
  <si>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</si>
  <si>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</si>
  <si>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</si>
  <si>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</si>
  <si>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</si>
  <si>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</si>
  <si>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</si>
  <si>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</si>
  <si>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</si>
  <si>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</si>
  <si>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</si>
  <si>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</si>
  <si>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</si>
  <si>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</si>
  <si>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</si>
  <si>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</si>
  <si>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</si>
  <si>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</si>
  <si>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</si>
  <si>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</si>
  <si>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</si>
  <si>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</si>
  <si>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</si>
  <si>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</si>
  <si>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</si>
  <si>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</si>
  <si>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</si>
  <si>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</si>
  <si>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</si>
  <si>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</si>
  <si>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</si>
  <si>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</si>
  <si>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</si>
  <si>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</si>
  <si>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</si>
  <si>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</si>
  <si>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</si>
  <si>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</si>
  <si>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</si>
  <si>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</si>
  <si>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</si>
  <si>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</si>
  <si>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</si>
  <si>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</si>
  <si>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</si>
  <si>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</si>
  <si>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</si>
  <si>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</si>
  <si>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</si>
  <si>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</si>
  <si>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</si>
  <si>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</si>
  <si>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</si>
  <si>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</si>
  <si>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</si>
  <si>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</si>
  <si>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</si>
  <si>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</si>
  <si>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</si>
  <si>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</si>
  <si>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</si>
  <si>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</si>
  <si>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</si>
  <si>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</si>
  <si>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</si>
  <si>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</si>
  <si>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</si>
  <si>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</si>
  <si>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</si>
  <si>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</si>
  <si>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</si>
  <si>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</si>
  <si>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</si>
  <si>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</si>
  <si>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</si>
  <si>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</si>
  <si>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</si>
  <si>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</si>
  <si>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</si>
  <si>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</si>
  <si>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</si>
  <si>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</si>
  <si>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</si>
  <si>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</si>
  <si>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</si>
  <si>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</si>
  <si>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</si>
  <si>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</si>
  <si>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</si>
  <si>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</si>
  <si>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</si>
  <si>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</si>
  <si>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</si>
  <si>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</si>
  <si>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</si>
  <si>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</si>
  <si>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</si>
  <si>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</si>
  <si>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</si>
  <si>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</si>
  <si>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</si>
  <si>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</si>
  <si>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</si>
  <si>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</si>
  <si>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</si>
  <si>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</si>
  <si>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</si>
  <si>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</si>
  <si>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</si>
  <si>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</si>
  <si>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</si>
  <si>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</si>
  <si>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</si>
  <si>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</si>
  <si>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</si>
  <si>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</si>
  <si>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</si>
  <si>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</si>
  <si>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</si>
  <si>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</si>
  <si>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</si>
  <si>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</si>
  <si>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</si>
  <si>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</si>
  <si>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</si>
  <si>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</si>
  <si>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</si>
  <si>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</si>
  <si>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</si>
  <si>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</si>
  <si>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</si>
  <si>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</si>
  <si>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</si>
  <si>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</si>
  <si>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</si>
  <si>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</si>
  <si>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</si>
  <si>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</si>
  <si>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</si>
  <si>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</si>
  <si>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</si>
  <si>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</si>
  <si>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</si>
  <si>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</si>
  <si>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</si>
  <si>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</si>
  <si>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</si>
  <si>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</si>
  <si>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</si>
  <si>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</si>
  <si>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</si>
  <si>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</si>
  <si>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</si>
  <si>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</si>
  <si>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</si>
  <si>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</si>
  <si>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</si>
  <si>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</si>
  <si>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</si>
  <si>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</si>
  <si>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</si>
  <si>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</si>
  <si>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</si>
  <si>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</si>
  <si>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</si>
  <si>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</si>
  <si>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</si>
  <si>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</si>
  <si>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</si>
  <si>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</si>
  <si>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</si>
  <si>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</si>
  <si>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</si>
  <si>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</si>
  <si>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</si>
  <si>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</si>
  <si>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</si>
  <si>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</si>
  <si>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</si>
  <si>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</si>
  <si>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</si>
  <si>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</si>
  <si>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</si>
  <si>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</si>
  <si>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</si>
  <si>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</si>
  <si>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</si>
  <si>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</si>
  <si>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</si>
  <si>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</si>
  <si>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</si>
  <si>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</si>
  <si>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</si>
  <si>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</si>
  <si>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</si>
  <si>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</si>
  <si>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</si>
  <si>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</si>
  <si>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</si>
  <si>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</si>
  <si>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</si>
  <si>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</si>
  <si>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</si>
  <si>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</si>
  <si>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</si>
  <si>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</si>
  <si>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</si>
  <si>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</si>
  <si>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</si>
  <si>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</si>
  <si>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</si>
  <si>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</si>
  <si>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</si>
  <si>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</si>
  <si>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</si>
  <si>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</si>
  <si>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</si>
  <si>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</si>
  <si>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</si>
  <si>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</si>
  <si>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</si>
  <si>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</si>
  <si>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</si>
  <si>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</si>
  <si>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</si>
  <si>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</si>
  <si>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</si>
  <si>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</si>
  <si>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</si>
  <si>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</si>
  <si>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</si>
  <si>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</si>
  <si>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</si>
  <si>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</si>
  <si>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</si>
  <si>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</si>
  <si>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</si>
  <si>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</si>
  <si>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</si>
  <si>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</si>
  <si>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</si>
  <si>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</si>
  <si>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</si>
  <si>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</si>
  <si>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</si>
  <si>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</si>
  <si>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</si>
  <si>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</si>
  <si>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</si>
  <si>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</si>
  <si>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</si>
  <si>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</si>
  <si>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</si>
  <si>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</si>
  <si>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</si>
  <si>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</si>
  <si>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</si>
  <si>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Epsom School District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</si>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</sst>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51" activePane="bottomRight" state="frozen"/>
      <selection pane="topRight" activeCell="F1" sqref="F1"/>
      <selection pane="bottomLeft" activeCell="A4" sqref="A4"/>
      <selection pane="bottomRight" activeCell="I575" sqref="I57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167</v>
      </c>
      <c r="C2" s="21">
        <v>167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477941.01</v>
      </c>
      <c r="G9" s="18"/>
      <c r="H9" s="18"/>
      <c r="I9" s="18"/>
      <c r="J9" s="67">
        <f>SUM(I439)</f>
        <v>202524.41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39573.56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50773.56</v>
      </c>
      <c r="G13" s="18">
        <v>6033.09</v>
      </c>
      <c r="H13" s="18">
        <v>37572.58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12732.28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568288.13</v>
      </c>
      <c r="G19" s="41">
        <f>SUM(G9:G18)</f>
        <v>18765.370000000003</v>
      </c>
      <c r="H19" s="41">
        <f>SUM(H9:H18)</f>
        <v>37572.58</v>
      </c>
      <c r="I19" s="41">
        <f>SUM(I9:I18)</f>
        <v>0</v>
      </c>
      <c r="J19" s="41">
        <f>SUM(J9:J18)</f>
        <v>202524.41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7103.09</v>
      </c>
      <c r="H22" s="18">
        <v>32470.47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172968.6</v>
      </c>
      <c r="G23" s="18">
        <v>970.09</v>
      </c>
      <c r="H23" s="18">
        <v>5102.1099999999997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269830.94</v>
      </c>
      <c r="G25" s="145"/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1924.18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444723.72000000003</v>
      </c>
      <c r="G32" s="41">
        <f>SUM(G22:G31)</f>
        <v>8073.18</v>
      </c>
      <c r="H32" s="41">
        <f>SUM(H22:H31)</f>
        <v>37572.58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10692.19</v>
      </c>
      <c r="H48" s="18"/>
      <c r="I48" s="18"/>
      <c r="J48" s="13">
        <f>SUM(I459)</f>
        <v>202524.41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83564.41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123564.41</v>
      </c>
      <c r="G51" s="41">
        <f>SUM(G35:G50)</f>
        <v>10692.19</v>
      </c>
      <c r="H51" s="41">
        <f>SUM(H35:H50)</f>
        <v>0</v>
      </c>
      <c r="I51" s="41">
        <f>SUM(I35:I50)</f>
        <v>0</v>
      </c>
      <c r="J51" s="41">
        <f>SUM(J35:J50)</f>
        <v>202524.41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568288.13</v>
      </c>
      <c r="G52" s="41">
        <f>G51+G32</f>
        <v>18765.370000000003</v>
      </c>
      <c r="H52" s="41">
        <f>H51+H32</f>
        <v>37572.58</v>
      </c>
      <c r="I52" s="41">
        <f>I51+I32</f>
        <v>0</v>
      </c>
      <c r="J52" s="41">
        <f>J51+J32</f>
        <v>202524.41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5188940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5188940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5877.53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5877.53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344.35</v>
      </c>
      <c r="G96" s="18"/>
      <c r="H96" s="18"/>
      <c r="I96" s="18"/>
      <c r="J96" s="18">
        <v>1305.1199999999999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92189.39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2642.7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12719.83</v>
      </c>
      <c r="G110" s="18">
        <v>2129.31</v>
      </c>
      <c r="H110" s="18"/>
      <c r="I110" s="18"/>
      <c r="J110" s="18">
        <v>-323.49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15706.88</v>
      </c>
      <c r="G111" s="41">
        <f>SUM(G96:G110)</f>
        <v>94318.7</v>
      </c>
      <c r="H111" s="41">
        <f>SUM(H96:H110)</f>
        <v>0</v>
      </c>
      <c r="I111" s="41">
        <f>SUM(I96:I110)</f>
        <v>0</v>
      </c>
      <c r="J111" s="41">
        <f>SUM(J96:J110)</f>
        <v>981.62999999999988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5211524.41</v>
      </c>
      <c r="G112" s="41">
        <f>G60+G111</f>
        <v>94318.7</v>
      </c>
      <c r="H112" s="41">
        <f>H60+H79+H94+H111</f>
        <v>0</v>
      </c>
      <c r="I112" s="41">
        <f>I60+I111</f>
        <v>0</v>
      </c>
      <c r="J112" s="41">
        <f>J60+J111</f>
        <v>981.62999999999988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2524219.5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920387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3444606.5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18235.39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347.01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18235.39</v>
      </c>
      <c r="G136" s="41">
        <f>SUM(G123:G135)</f>
        <v>347.01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3462841.89</v>
      </c>
      <c r="G140" s="41">
        <f>G121+SUM(G136:G137)</f>
        <v>347.01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66331.899999999994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38515.660000000003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79895.42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74094.64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74094.64</v>
      </c>
      <c r="G162" s="41">
        <f>SUM(G150:G161)</f>
        <v>79895.42</v>
      </c>
      <c r="H162" s="41">
        <f>SUM(H150:H161)</f>
        <v>104847.56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74094.64</v>
      </c>
      <c r="G169" s="41">
        <f>G147+G162+SUM(G163:G168)</f>
        <v>79895.42</v>
      </c>
      <c r="H169" s="41">
        <f>H147+H162+SUM(H163:H168)</f>
        <v>104847.56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85.5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85.5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85.5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8748460.9400000013</v>
      </c>
      <c r="G193" s="47">
        <f>G112+G140+G169+G192</f>
        <v>174646.63</v>
      </c>
      <c r="H193" s="47">
        <f>H112+H140+H169+H192</f>
        <v>104847.56</v>
      </c>
      <c r="I193" s="47">
        <f>I112+I140+I169+I192</f>
        <v>0</v>
      </c>
      <c r="J193" s="47">
        <f>J112+J140+J192</f>
        <v>981.62999999999988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1948796.08</v>
      </c>
      <c r="G197" s="18">
        <v>1025254.2</v>
      </c>
      <c r="H197" s="18">
        <v>9046.9699999999993</v>
      </c>
      <c r="I197" s="18">
        <v>45531.37</v>
      </c>
      <c r="J197" s="18">
        <v>17204.5</v>
      </c>
      <c r="K197" s="18"/>
      <c r="L197" s="19">
        <f>SUM(F197:K197)</f>
        <v>3045833.1200000006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524831.06000000006</v>
      </c>
      <c r="G198" s="18">
        <v>276175.49</v>
      </c>
      <c r="H198" s="18">
        <v>205593.28</v>
      </c>
      <c r="I198" s="18">
        <v>1987.95</v>
      </c>
      <c r="J198" s="18">
        <v>0</v>
      </c>
      <c r="K198" s="18"/>
      <c r="L198" s="19">
        <f>SUM(F198:K198)</f>
        <v>1008587.78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32703.34</v>
      </c>
      <c r="G200" s="18">
        <v>17106.759999999998</v>
      </c>
      <c r="H200" s="18">
        <v>3760</v>
      </c>
      <c r="I200" s="18">
        <v>1462.24</v>
      </c>
      <c r="J200" s="18">
        <v>0</v>
      </c>
      <c r="K200" s="18">
        <v>330</v>
      </c>
      <c r="L200" s="19">
        <f>SUM(F200:K200)</f>
        <v>55362.34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122845.95</v>
      </c>
      <c r="G202" s="18">
        <v>64643.82</v>
      </c>
      <c r="H202" s="18">
        <v>264093.14</v>
      </c>
      <c r="I202" s="18">
        <v>844.66</v>
      </c>
      <c r="J202" s="18">
        <v>0</v>
      </c>
      <c r="K202" s="18">
        <v>1351.61</v>
      </c>
      <c r="L202" s="19">
        <f t="shared" ref="L202:L208" si="0">SUM(F202:K202)</f>
        <v>453779.18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46135.41</v>
      </c>
      <c r="G203" s="18">
        <v>28010.880000000001</v>
      </c>
      <c r="H203" s="18">
        <v>11456.3</v>
      </c>
      <c r="I203" s="18">
        <v>270.83</v>
      </c>
      <c r="J203" s="18">
        <v>0</v>
      </c>
      <c r="K203" s="18"/>
      <c r="L203" s="19">
        <f t="shared" si="0"/>
        <v>85873.420000000013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7850</v>
      </c>
      <c r="G204" s="18">
        <v>4112.1899999999996</v>
      </c>
      <c r="H204" s="18">
        <v>247483.54</v>
      </c>
      <c r="I204" s="18">
        <v>2085.9699999999998</v>
      </c>
      <c r="J204" s="18"/>
      <c r="K204" s="18">
        <v>3466.35</v>
      </c>
      <c r="L204" s="19">
        <f t="shared" si="0"/>
        <v>264998.05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316649.5</v>
      </c>
      <c r="G205" s="18">
        <v>166626.43</v>
      </c>
      <c r="H205" s="18">
        <v>37909.120000000003</v>
      </c>
      <c r="I205" s="18">
        <v>3046.78</v>
      </c>
      <c r="J205" s="18">
        <v>2639.87</v>
      </c>
      <c r="K205" s="18">
        <v>341</v>
      </c>
      <c r="L205" s="19">
        <f t="shared" si="0"/>
        <v>527212.70000000007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126808.38</v>
      </c>
      <c r="G207" s="18">
        <v>66617.67</v>
      </c>
      <c r="H207" s="18">
        <v>88779.91</v>
      </c>
      <c r="I207" s="18">
        <v>130979.99</v>
      </c>
      <c r="J207" s="18">
        <v>3704.7</v>
      </c>
      <c r="K207" s="18"/>
      <c r="L207" s="19">
        <f t="shared" si="0"/>
        <v>416890.64999999997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354505.98</v>
      </c>
      <c r="I208" s="18"/>
      <c r="J208" s="18"/>
      <c r="K208" s="18"/>
      <c r="L208" s="19">
        <f t="shared" si="0"/>
        <v>354505.98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3126619.72</v>
      </c>
      <c r="G211" s="41">
        <f t="shared" si="1"/>
        <v>1648547.4399999997</v>
      </c>
      <c r="H211" s="41">
        <f t="shared" si="1"/>
        <v>1222628.24</v>
      </c>
      <c r="I211" s="41">
        <f t="shared" si="1"/>
        <v>186209.79</v>
      </c>
      <c r="J211" s="41">
        <f t="shared" si="1"/>
        <v>23549.07</v>
      </c>
      <c r="K211" s="41">
        <f t="shared" si="1"/>
        <v>5488.96</v>
      </c>
      <c r="L211" s="41">
        <f t="shared" si="1"/>
        <v>6213043.2200000007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2003239.44</v>
      </c>
      <c r="I233" s="18"/>
      <c r="J233" s="18"/>
      <c r="K233" s="18"/>
      <c r="L233" s="19">
        <f>SUM(F233:K233)</f>
        <v>2003239.44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333319.88</v>
      </c>
      <c r="I234" s="18"/>
      <c r="J234" s="18"/>
      <c r="K234" s="18"/>
      <c r="L234" s="19">
        <f>SUM(F234:K234)</f>
        <v>333319.88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109192.01</v>
      </c>
      <c r="I238" s="18"/>
      <c r="J238" s="18"/>
      <c r="K238" s="18"/>
      <c r="L238" s="19">
        <f t="shared" ref="L238:L244" si="4">SUM(F238:K238)</f>
        <v>109192.01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68771.179999999993</v>
      </c>
      <c r="I244" s="18"/>
      <c r="J244" s="18"/>
      <c r="K244" s="18"/>
      <c r="L244" s="19">
        <f t="shared" si="4"/>
        <v>68771.179999999993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2514522.5099999998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2514522.5099999998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2000</v>
      </c>
      <c r="I255" s="18"/>
      <c r="J255" s="18"/>
      <c r="K255" s="18"/>
      <c r="L255" s="19">
        <f t="shared" si="6"/>
        <v>2000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3126619.72</v>
      </c>
      <c r="G257" s="41">
        <f t="shared" si="8"/>
        <v>1648547.4399999997</v>
      </c>
      <c r="H257" s="41">
        <f t="shared" si="8"/>
        <v>3739150.75</v>
      </c>
      <c r="I257" s="41">
        <f t="shared" si="8"/>
        <v>186209.79</v>
      </c>
      <c r="J257" s="41">
        <f t="shared" si="8"/>
        <v>23549.07</v>
      </c>
      <c r="K257" s="41">
        <f t="shared" si="8"/>
        <v>5488.96</v>
      </c>
      <c r="L257" s="41">
        <f t="shared" si="8"/>
        <v>8729565.7300000004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85.5</v>
      </c>
      <c r="L263" s="19">
        <f>SUM(F263:K263)</f>
        <v>85.5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27586.560000000001</v>
      </c>
      <c r="L268" s="19">
        <f t="shared" si="9"/>
        <v>27586.560000000001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27672.06</v>
      </c>
      <c r="L270" s="41">
        <f t="shared" si="9"/>
        <v>27672.06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3126619.72</v>
      </c>
      <c r="G271" s="42">
        <f t="shared" si="11"/>
        <v>1648547.4399999997</v>
      </c>
      <c r="H271" s="42">
        <f t="shared" si="11"/>
        <v>3739150.75</v>
      </c>
      <c r="I271" s="42">
        <f t="shared" si="11"/>
        <v>186209.79</v>
      </c>
      <c r="J271" s="42">
        <f t="shared" si="11"/>
        <v>23549.07</v>
      </c>
      <c r="K271" s="42">
        <f t="shared" si="11"/>
        <v>33161.020000000004</v>
      </c>
      <c r="L271" s="42">
        <f t="shared" si="11"/>
        <v>8757237.790000001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73752.84</v>
      </c>
      <c r="G276" s="18">
        <v>6253.81</v>
      </c>
      <c r="H276" s="18">
        <v>232.37</v>
      </c>
      <c r="I276" s="18">
        <v>12911.35</v>
      </c>
      <c r="J276" s="18">
        <v>5452.72</v>
      </c>
      <c r="K276" s="18"/>
      <c r="L276" s="19">
        <f>SUM(F276:K276)</f>
        <v>98603.09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3925.05</v>
      </c>
      <c r="I282" s="18">
        <v>0</v>
      </c>
      <c r="J282" s="18"/>
      <c r="K282" s="18"/>
      <c r="L282" s="19">
        <f t="shared" si="12"/>
        <v>3925.05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250</v>
      </c>
      <c r="G283" s="18"/>
      <c r="H283" s="18"/>
      <c r="I283" s="18"/>
      <c r="J283" s="18"/>
      <c r="K283" s="18">
        <v>2069.42</v>
      </c>
      <c r="L283" s="19">
        <f t="shared" si="12"/>
        <v>2319.42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74002.84</v>
      </c>
      <c r="G290" s="42">
        <f t="shared" si="13"/>
        <v>6253.81</v>
      </c>
      <c r="H290" s="42">
        <f t="shared" si="13"/>
        <v>4157.42</v>
      </c>
      <c r="I290" s="42">
        <f t="shared" si="13"/>
        <v>12911.35</v>
      </c>
      <c r="J290" s="42">
        <f t="shared" si="13"/>
        <v>5452.72</v>
      </c>
      <c r="K290" s="42">
        <f t="shared" si="13"/>
        <v>2069.42</v>
      </c>
      <c r="L290" s="41">
        <f t="shared" si="13"/>
        <v>104847.56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74002.84</v>
      </c>
      <c r="G338" s="41">
        <f t="shared" si="20"/>
        <v>6253.81</v>
      </c>
      <c r="H338" s="41">
        <f t="shared" si="20"/>
        <v>4157.42</v>
      </c>
      <c r="I338" s="41">
        <f t="shared" si="20"/>
        <v>12911.35</v>
      </c>
      <c r="J338" s="41">
        <f t="shared" si="20"/>
        <v>5452.72</v>
      </c>
      <c r="K338" s="41">
        <f t="shared" si="20"/>
        <v>2069.42</v>
      </c>
      <c r="L338" s="41">
        <f t="shared" si="20"/>
        <v>104847.56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74002.84</v>
      </c>
      <c r="G352" s="41">
        <f>G338</f>
        <v>6253.81</v>
      </c>
      <c r="H352" s="41">
        <f>H338</f>
        <v>4157.42</v>
      </c>
      <c r="I352" s="41">
        <f>I338</f>
        <v>12911.35</v>
      </c>
      <c r="J352" s="41">
        <f>J338</f>
        <v>5452.72</v>
      </c>
      <c r="K352" s="47">
        <f>K338+K351</f>
        <v>2069.42</v>
      </c>
      <c r="L352" s="41">
        <f>L338+L351</f>
        <v>104847.56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63316.12</v>
      </c>
      <c r="G358" s="18">
        <v>43144.54</v>
      </c>
      <c r="H358" s="18">
        <v>1853.36</v>
      </c>
      <c r="I358" s="18">
        <v>65521.42</v>
      </c>
      <c r="J358" s="18">
        <v>109</v>
      </c>
      <c r="K358" s="18">
        <v>10</v>
      </c>
      <c r="L358" s="13">
        <f>SUM(F358:K358)</f>
        <v>173954.44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63316.12</v>
      </c>
      <c r="G362" s="47">
        <f t="shared" si="22"/>
        <v>43144.54</v>
      </c>
      <c r="H362" s="47">
        <f t="shared" si="22"/>
        <v>1853.36</v>
      </c>
      <c r="I362" s="47">
        <f t="shared" si="22"/>
        <v>65521.42</v>
      </c>
      <c r="J362" s="47">
        <f t="shared" si="22"/>
        <v>109</v>
      </c>
      <c r="K362" s="47">
        <f t="shared" si="22"/>
        <v>10</v>
      </c>
      <c r="L362" s="47">
        <f t="shared" si="22"/>
        <v>173954.44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57982.97</v>
      </c>
      <c r="G367" s="18"/>
      <c r="H367" s="18"/>
      <c r="I367" s="56">
        <f>SUM(F367:H367)</f>
        <v>57982.97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7538.45</v>
      </c>
      <c r="G368" s="63"/>
      <c r="H368" s="63"/>
      <c r="I368" s="56">
        <f>SUM(F368:H368)</f>
        <v>7538.45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65521.42</v>
      </c>
      <c r="G369" s="47">
        <f>SUM(G367:G368)</f>
        <v>0</v>
      </c>
      <c r="H369" s="47">
        <f>SUM(H367:H368)</f>
        <v>0</v>
      </c>
      <c r="I369" s="47">
        <f>SUM(I367:I368)</f>
        <v>65521.42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1145.1600000000001</v>
      </c>
      <c r="I388" s="18">
        <v>-283.93</v>
      </c>
      <c r="J388" s="24" t="s">
        <v>289</v>
      </c>
      <c r="K388" s="24" t="s">
        <v>289</v>
      </c>
      <c r="L388" s="56">
        <f t="shared" si="25"/>
        <v>861.23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1145.1600000000001</v>
      </c>
      <c r="I393" s="65">
        <f>SUM(I387:I392)</f>
        <v>-283.93</v>
      </c>
      <c r="J393" s="45" t="s">
        <v>289</v>
      </c>
      <c r="K393" s="45" t="s">
        <v>289</v>
      </c>
      <c r="L393" s="47">
        <f>SUM(L387:L392)</f>
        <v>861.23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155.57</v>
      </c>
      <c r="I396" s="18">
        <v>-38.47</v>
      </c>
      <c r="J396" s="24" t="s">
        <v>289</v>
      </c>
      <c r="K396" s="24" t="s">
        <v>289</v>
      </c>
      <c r="L396" s="56">
        <f t="shared" si="26"/>
        <v>117.1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4.3899999999999997</v>
      </c>
      <c r="I399" s="18">
        <v>-1.0900000000000001</v>
      </c>
      <c r="J399" s="24" t="s">
        <v>289</v>
      </c>
      <c r="K399" s="24" t="s">
        <v>289</v>
      </c>
      <c r="L399" s="56">
        <f t="shared" si="26"/>
        <v>3.3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159.95999999999998</v>
      </c>
      <c r="I401" s="47">
        <f>SUM(I395:I400)</f>
        <v>-39.56</v>
      </c>
      <c r="J401" s="45" t="s">
        <v>289</v>
      </c>
      <c r="K401" s="45" t="s">
        <v>289</v>
      </c>
      <c r="L401" s="47">
        <f>SUM(L395:L400)</f>
        <v>120.39999999999999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1305.1200000000001</v>
      </c>
      <c r="I408" s="47">
        <f>I393+I401+I407</f>
        <v>-323.49</v>
      </c>
      <c r="J408" s="24" t="s">
        <v>289</v>
      </c>
      <c r="K408" s="24" t="s">
        <v>289</v>
      </c>
      <c r="L408" s="47">
        <f>L393+L401+L407</f>
        <v>981.63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177755.73</v>
      </c>
      <c r="G439" s="18">
        <v>24768.68</v>
      </c>
      <c r="H439" s="18"/>
      <c r="I439" s="56">
        <f t="shared" ref="I439:I445" si="33">SUM(F439:H439)</f>
        <v>202524.41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177755.73</v>
      </c>
      <c r="G446" s="13">
        <f>SUM(G439:G445)</f>
        <v>24768.68</v>
      </c>
      <c r="H446" s="13">
        <f>SUM(H439:H445)</f>
        <v>0</v>
      </c>
      <c r="I446" s="13">
        <f>SUM(I439:I445)</f>
        <v>202524.41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177755.73</v>
      </c>
      <c r="G459" s="18">
        <v>24768.68</v>
      </c>
      <c r="H459" s="18"/>
      <c r="I459" s="56">
        <f t="shared" si="34"/>
        <v>202524.41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177755.73</v>
      </c>
      <c r="G460" s="83">
        <f>SUM(G454:G459)</f>
        <v>24768.68</v>
      </c>
      <c r="H460" s="83">
        <f>SUM(H454:H459)</f>
        <v>0</v>
      </c>
      <c r="I460" s="83">
        <f>SUM(I454:I459)</f>
        <v>202524.41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177755.73</v>
      </c>
      <c r="G461" s="42">
        <f>G452+G460</f>
        <v>24768.68</v>
      </c>
      <c r="H461" s="42">
        <f>H452+H460</f>
        <v>0</v>
      </c>
      <c r="I461" s="42">
        <f>I452+I460</f>
        <v>202524.41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132341.26</v>
      </c>
      <c r="G465" s="18">
        <v>10000</v>
      </c>
      <c r="H465" s="18">
        <v>0</v>
      </c>
      <c r="I465" s="18">
        <v>0</v>
      </c>
      <c r="J465" s="18">
        <v>201542.78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8748460.9399999995</v>
      </c>
      <c r="G468" s="18">
        <v>174646.63</v>
      </c>
      <c r="H468" s="18">
        <v>104847.56</v>
      </c>
      <c r="I468" s="18"/>
      <c r="J468" s="18">
        <v>981.63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8748460.9399999995</v>
      </c>
      <c r="G470" s="53">
        <f>SUM(G468:G469)</f>
        <v>174646.63</v>
      </c>
      <c r="H470" s="53">
        <f>SUM(H468:H469)</f>
        <v>104847.56</v>
      </c>
      <c r="I470" s="53">
        <f>SUM(I468:I469)</f>
        <v>0</v>
      </c>
      <c r="J470" s="53">
        <f>SUM(J468:J469)</f>
        <v>981.63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8757237.7899999991</v>
      </c>
      <c r="G472" s="18">
        <v>173954.44</v>
      </c>
      <c r="H472" s="18">
        <v>104847.56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8757237.7899999991</v>
      </c>
      <c r="G474" s="53">
        <f>SUM(G472:G473)</f>
        <v>173954.44</v>
      </c>
      <c r="H474" s="53">
        <f>SUM(H472:H473)</f>
        <v>104847.56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123564.41000000015</v>
      </c>
      <c r="G476" s="53">
        <f>(G465+G470)- G474</f>
        <v>10692.190000000002</v>
      </c>
      <c r="H476" s="53">
        <f>(H465+H470)- H474</f>
        <v>0</v>
      </c>
      <c r="I476" s="53">
        <f>(I465+I470)- I474</f>
        <v>0</v>
      </c>
      <c r="J476" s="53">
        <f>(J465+J470)- J474</f>
        <v>202524.41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4511.7</v>
      </c>
      <c r="G507" s="144"/>
      <c r="H507" s="144">
        <v>2587.52</v>
      </c>
      <c r="I507" s="144">
        <v>1924.18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524831.06000000006</v>
      </c>
      <c r="G521" s="18">
        <v>276175.49</v>
      </c>
      <c r="H521" s="18">
        <v>205593.28</v>
      </c>
      <c r="I521" s="18">
        <v>1987.95</v>
      </c>
      <c r="J521" s="18"/>
      <c r="K521" s="18"/>
      <c r="L521" s="88">
        <f>SUM(F521:K521)</f>
        <v>1008587.78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333319.88</v>
      </c>
      <c r="I523" s="18"/>
      <c r="J523" s="18"/>
      <c r="K523" s="18"/>
      <c r="L523" s="88">
        <f>SUM(F523:K523)</f>
        <v>333319.88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524831.06000000006</v>
      </c>
      <c r="G524" s="108">
        <f t="shared" ref="G524:L524" si="36">SUM(G521:G523)</f>
        <v>276175.49</v>
      </c>
      <c r="H524" s="108">
        <f t="shared" si="36"/>
        <v>538913.16</v>
      </c>
      <c r="I524" s="108">
        <f t="shared" si="36"/>
        <v>1987.95</v>
      </c>
      <c r="J524" s="108">
        <f t="shared" si="36"/>
        <v>0</v>
      </c>
      <c r="K524" s="108">
        <f t="shared" si="36"/>
        <v>0</v>
      </c>
      <c r="L524" s="89">
        <f t="shared" si="36"/>
        <v>1341907.6600000001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257528.22</v>
      </c>
      <c r="I526" s="18"/>
      <c r="J526" s="18"/>
      <c r="K526" s="18"/>
      <c r="L526" s="88">
        <f>SUM(F526:K526)</f>
        <v>257528.22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109192.01</v>
      </c>
      <c r="I528" s="18"/>
      <c r="J528" s="18"/>
      <c r="K528" s="18"/>
      <c r="L528" s="88">
        <f>SUM(F528:K528)</f>
        <v>109192.01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366720.23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366720.23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11827.43</v>
      </c>
      <c r="G531" s="18">
        <v>5924.47</v>
      </c>
      <c r="H531" s="18">
        <v>398.4</v>
      </c>
      <c r="I531" s="18"/>
      <c r="J531" s="18"/>
      <c r="K531" s="18"/>
      <c r="L531" s="88">
        <f>SUM(F531:K531)</f>
        <v>18150.300000000003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2956.86</v>
      </c>
      <c r="G533" s="18">
        <v>1481.12</v>
      </c>
      <c r="H533" s="18">
        <v>99.6</v>
      </c>
      <c r="I533" s="18"/>
      <c r="J533" s="18"/>
      <c r="K533" s="18"/>
      <c r="L533" s="88">
        <f>SUM(F533:K533)</f>
        <v>4537.58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14784.29</v>
      </c>
      <c r="G534" s="89">
        <f t="shared" ref="G534:L534" si="38">SUM(G531:G533)</f>
        <v>7405.59</v>
      </c>
      <c r="H534" s="89">
        <f t="shared" si="38"/>
        <v>498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22687.880000000005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34582.47</v>
      </c>
      <c r="I541" s="18"/>
      <c r="J541" s="18"/>
      <c r="K541" s="18"/>
      <c r="L541" s="88">
        <f>SUM(F541:K541)</f>
        <v>34582.47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68771.179999999993</v>
      </c>
      <c r="I543" s="18"/>
      <c r="J543" s="18"/>
      <c r="K543" s="18"/>
      <c r="L543" s="88">
        <f>SUM(F543:K543)</f>
        <v>68771.179999999993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103353.65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103353.65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539615.35000000009</v>
      </c>
      <c r="G545" s="89">
        <f t="shared" ref="G545:L545" si="41">G524+G529+G534+G539+G544</f>
        <v>283581.08</v>
      </c>
      <c r="H545" s="89">
        <f t="shared" si="41"/>
        <v>1009485.04</v>
      </c>
      <c r="I545" s="89">
        <f t="shared" si="41"/>
        <v>1987.95</v>
      </c>
      <c r="J545" s="89">
        <f t="shared" si="41"/>
        <v>0</v>
      </c>
      <c r="K545" s="89">
        <f t="shared" si="41"/>
        <v>0</v>
      </c>
      <c r="L545" s="89">
        <f t="shared" si="41"/>
        <v>1834669.42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1008587.78</v>
      </c>
      <c r="G549" s="87">
        <f>L526</f>
        <v>257528.22</v>
      </c>
      <c r="H549" s="87">
        <f>L531</f>
        <v>18150.300000000003</v>
      </c>
      <c r="I549" s="87">
        <f>L536</f>
        <v>0</v>
      </c>
      <c r="J549" s="87">
        <f>L541</f>
        <v>34582.47</v>
      </c>
      <c r="K549" s="87">
        <f>SUM(F549:J549)</f>
        <v>1318848.77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333319.88</v>
      </c>
      <c r="G551" s="87">
        <f>L528</f>
        <v>109192.01</v>
      </c>
      <c r="H551" s="87">
        <f>L533</f>
        <v>4537.58</v>
      </c>
      <c r="I551" s="87">
        <f>L538</f>
        <v>0</v>
      </c>
      <c r="J551" s="87">
        <f>L543</f>
        <v>68771.179999999993</v>
      </c>
      <c r="K551" s="87">
        <f>SUM(F551:J551)</f>
        <v>515820.65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1341907.6600000001</v>
      </c>
      <c r="G552" s="89">
        <f t="shared" si="42"/>
        <v>366720.23</v>
      </c>
      <c r="H552" s="89">
        <f t="shared" si="42"/>
        <v>22687.880000000005</v>
      </c>
      <c r="I552" s="89">
        <f t="shared" si="42"/>
        <v>0</v>
      </c>
      <c r="J552" s="89">
        <f t="shared" si="42"/>
        <v>103353.65</v>
      </c>
      <c r="K552" s="89">
        <f t="shared" si="42"/>
        <v>1834669.42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3885.97</v>
      </c>
      <c r="G562" s="18">
        <v>2044.39</v>
      </c>
      <c r="H562" s="18">
        <v>2991.02</v>
      </c>
      <c r="I562" s="18"/>
      <c r="J562" s="18"/>
      <c r="K562" s="18"/>
      <c r="L562" s="88">
        <f>SUM(F562:K562)</f>
        <v>8921.3799999999992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3885.97</v>
      </c>
      <c r="G565" s="89">
        <f t="shared" si="44"/>
        <v>2044.39</v>
      </c>
      <c r="H565" s="89">
        <f t="shared" si="44"/>
        <v>2991.02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8921.3799999999992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3885.97</v>
      </c>
      <c r="G571" s="89">
        <f t="shared" ref="G571:L571" si="46">G560+G565+G570</f>
        <v>2044.39</v>
      </c>
      <c r="H571" s="89">
        <f t="shared" si="46"/>
        <v>2991.02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8921.3799999999992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1981089.44</v>
      </c>
      <c r="I575" s="87">
        <f>SUM(F575:H575)</f>
        <v>1981089.44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22150</v>
      </c>
      <c r="I577" s="87">
        <f t="shared" si="47"/>
        <v>22150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89853.06</v>
      </c>
      <c r="G579" s="18"/>
      <c r="H579" s="18">
        <v>294765.2</v>
      </c>
      <c r="I579" s="87">
        <f t="shared" si="47"/>
        <v>384618.26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97836.72</v>
      </c>
      <c r="G582" s="18"/>
      <c r="H582" s="18"/>
      <c r="I582" s="87">
        <f t="shared" si="47"/>
        <v>97836.72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17903.5</v>
      </c>
      <c r="G583" s="18"/>
      <c r="H583" s="18">
        <v>38554.68</v>
      </c>
      <c r="I583" s="87">
        <f t="shared" si="47"/>
        <v>56458.18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315597.40000000002</v>
      </c>
      <c r="I591" s="18"/>
      <c r="J591" s="18"/>
      <c r="K591" s="104">
        <f t="shared" ref="K591:K597" si="48">SUM(H591:J591)</f>
        <v>315597.40000000002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34582.47</v>
      </c>
      <c r="I592" s="18"/>
      <c r="J592" s="18">
        <v>68771.179999999993</v>
      </c>
      <c r="K592" s="104">
        <f t="shared" si="48"/>
        <v>103353.65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3601.94</v>
      </c>
      <c r="I594" s="18"/>
      <c r="J594" s="18"/>
      <c r="K594" s="104">
        <f t="shared" si="48"/>
        <v>3601.94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724.17</v>
      </c>
      <c r="I595" s="18"/>
      <c r="J595" s="18"/>
      <c r="K595" s="104">
        <f t="shared" si="48"/>
        <v>724.17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354505.98</v>
      </c>
      <c r="I598" s="108">
        <f>SUM(I591:I597)</f>
        <v>0</v>
      </c>
      <c r="J598" s="108">
        <f>SUM(J591:J597)</f>
        <v>68771.179999999993</v>
      </c>
      <c r="K598" s="108">
        <f>SUM(K591:K597)</f>
        <v>423277.16000000003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29001.79</v>
      </c>
      <c r="I604" s="18"/>
      <c r="J604" s="18"/>
      <c r="K604" s="104">
        <f>SUM(H604:J604)</f>
        <v>29001.79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29001.79</v>
      </c>
      <c r="I605" s="108">
        <f>SUM(I602:I604)</f>
        <v>0</v>
      </c>
      <c r="J605" s="108">
        <f>SUM(J602:J604)</f>
        <v>0</v>
      </c>
      <c r="K605" s="108">
        <f>SUM(K602:K604)</f>
        <v>29001.79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568288.13</v>
      </c>
      <c r="H617" s="109">
        <f>SUM(F52)</f>
        <v>568288.13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18765.370000000003</v>
      </c>
      <c r="H618" s="109">
        <f>SUM(G52)</f>
        <v>18765.370000000003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37572.58</v>
      </c>
      <c r="H619" s="109">
        <f>SUM(H52)</f>
        <v>37572.58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202524.41</v>
      </c>
      <c r="H621" s="109">
        <f>SUM(J52)</f>
        <v>202524.41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123564.41</v>
      </c>
      <c r="H622" s="109">
        <f>F476</f>
        <v>123564.41000000015</v>
      </c>
      <c r="I622" s="121" t="s">
        <v>101</v>
      </c>
      <c r="J622" s="109">
        <f t="shared" ref="J622:J655" si="50">G622-H622</f>
        <v>-1.4551915228366852E-10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10692.19</v>
      </c>
      <c r="H623" s="109">
        <f>G476</f>
        <v>10692.190000000002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202524.41</v>
      </c>
      <c r="H626" s="109">
        <f>J476</f>
        <v>202524.41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8748460.9400000013</v>
      </c>
      <c r="H627" s="104">
        <f>SUM(F468)</f>
        <v>8748460.9399999995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174646.63</v>
      </c>
      <c r="H628" s="104">
        <f>SUM(G468)</f>
        <v>174646.63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104847.56</v>
      </c>
      <c r="H629" s="104">
        <f>SUM(H468)</f>
        <v>104847.56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981.62999999999988</v>
      </c>
      <c r="H631" s="104">
        <f>SUM(J468)</f>
        <v>981.63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8757237.790000001</v>
      </c>
      <c r="H632" s="104">
        <f>SUM(F472)</f>
        <v>8757237.7899999991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104847.56</v>
      </c>
      <c r="H633" s="104">
        <f>SUM(H472)</f>
        <v>104847.56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65521.42</v>
      </c>
      <c r="H634" s="104">
        <f>I369</f>
        <v>65521.42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173954.44</v>
      </c>
      <c r="H635" s="104">
        <f>SUM(G472)</f>
        <v>173954.44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981.63</v>
      </c>
      <c r="H637" s="164">
        <f>SUM(J468)</f>
        <v>981.63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177755.73</v>
      </c>
      <c r="H639" s="104">
        <f>SUM(F461)</f>
        <v>177755.73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24768.68</v>
      </c>
      <c r="H640" s="104">
        <f>SUM(G461)</f>
        <v>24768.68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202524.41</v>
      </c>
      <c r="H642" s="104">
        <f>SUM(I461)</f>
        <v>202524.41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1305.1199999999999</v>
      </c>
      <c r="H644" s="104">
        <f>H408</f>
        <v>1305.1200000000001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981.62999999999988</v>
      </c>
      <c r="H646" s="104">
        <f>L408</f>
        <v>981.63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423277.16000000003</v>
      </c>
      <c r="H647" s="104">
        <f>L208+L226+L244</f>
        <v>423277.16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29001.79</v>
      </c>
      <c r="H648" s="104">
        <f>(J257+J338)-(J255+J336)</f>
        <v>29001.79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354505.98</v>
      </c>
      <c r="H649" s="104">
        <f>H598</f>
        <v>354505.98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68771.179999999993</v>
      </c>
      <c r="H651" s="104">
        <f>J598</f>
        <v>68771.179999999993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85.5</v>
      </c>
      <c r="H652" s="104">
        <f>K263+K345</f>
        <v>85.5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6491845.2200000007</v>
      </c>
      <c r="G660" s="19">
        <f>(L229+L309+L359)</f>
        <v>0</v>
      </c>
      <c r="H660" s="19">
        <f>(L247+L328+L360)</f>
        <v>2514522.5099999998</v>
      </c>
      <c r="I660" s="19">
        <f>SUM(F660:H660)</f>
        <v>9006367.7300000004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94318.7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94318.7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354505.98</v>
      </c>
      <c r="G662" s="19">
        <f>(L226+L306)-(J226+J306)</f>
        <v>0</v>
      </c>
      <c r="H662" s="19">
        <f>(L244+L325)-(J244+J325)</f>
        <v>68771.179999999993</v>
      </c>
      <c r="I662" s="19">
        <f>SUM(F662:H662)</f>
        <v>423277.16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234595.07</v>
      </c>
      <c r="G663" s="199">
        <f>SUM(G575:G587)+SUM(I602:I604)+L612</f>
        <v>0</v>
      </c>
      <c r="H663" s="199">
        <f>SUM(H575:H587)+SUM(J602:J604)+L613</f>
        <v>2336559.3200000003</v>
      </c>
      <c r="I663" s="19">
        <f>SUM(F663:H663)</f>
        <v>2571154.39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5808425.4700000007</v>
      </c>
      <c r="G664" s="19">
        <f>G660-SUM(G661:G663)</f>
        <v>0</v>
      </c>
      <c r="H664" s="19">
        <f>H660-SUM(H661:H663)</f>
        <v>109192.00999999931</v>
      </c>
      <c r="I664" s="19">
        <f>I660-SUM(I661:I663)</f>
        <v>5917617.4800000004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411.61</v>
      </c>
      <c r="G665" s="248"/>
      <c r="H665" s="248"/>
      <c r="I665" s="19">
        <f>SUM(F665:H665)</f>
        <v>411.61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14111.48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14376.76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-109192.01</v>
      </c>
      <c r="I669" s="19">
        <f>SUM(F669:H669)</f>
        <v>-109192.01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14111.48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14111.48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53" sqref="C5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Epsom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2022548.9200000002</v>
      </c>
      <c r="C9" s="229">
        <f>'DOE25'!G197+'DOE25'!G215+'DOE25'!G233+'DOE25'!G276+'DOE25'!G295+'DOE25'!G314</f>
        <v>1031508.01</v>
      </c>
    </row>
    <row r="10" spans="1:3" x14ac:dyDescent="0.2">
      <c r="A10" t="s">
        <v>779</v>
      </c>
      <c r="B10" s="240">
        <v>1862416.67</v>
      </c>
      <c r="C10" s="240">
        <v>950018.88</v>
      </c>
    </row>
    <row r="11" spans="1:3" x14ac:dyDescent="0.2">
      <c r="A11" t="s">
        <v>780</v>
      </c>
      <c r="B11" s="240">
        <v>106866.28</v>
      </c>
      <c r="C11" s="240">
        <v>54669.919999999998</v>
      </c>
    </row>
    <row r="12" spans="1:3" x14ac:dyDescent="0.2">
      <c r="A12" t="s">
        <v>781</v>
      </c>
      <c r="B12" s="240">
        <v>53265.97</v>
      </c>
      <c r="C12" s="240">
        <v>26819.21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2022548.92</v>
      </c>
      <c r="C13" s="231">
        <f>SUM(C10:C12)</f>
        <v>1031508.01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524831.06000000006</v>
      </c>
      <c r="C18" s="229">
        <f>'DOE25'!G198+'DOE25'!G216+'DOE25'!G234+'DOE25'!G277+'DOE25'!G296+'DOE25'!G315</f>
        <v>276175.49</v>
      </c>
    </row>
    <row r="19" spans="1:3" x14ac:dyDescent="0.2">
      <c r="A19" t="s">
        <v>779</v>
      </c>
      <c r="B19" s="240">
        <v>187203.20000000001</v>
      </c>
      <c r="C19" s="240">
        <v>98594.65</v>
      </c>
    </row>
    <row r="20" spans="1:3" x14ac:dyDescent="0.2">
      <c r="A20" t="s">
        <v>780</v>
      </c>
      <c r="B20" s="240">
        <v>274068.65000000002</v>
      </c>
      <c r="C20" s="240">
        <v>144163.60999999999</v>
      </c>
    </row>
    <row r="21" spans="1:3" x14ac:dyDescent="0.2">
      <c r="A21" t="s">
        <v>781</v>
      </c>
      <c r="B21" s="240">
        <v>63559.21</v>
      </c>
      <c r="C21" s="240">
        <v>33417.230000000003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524831.06000000006</v>
      </c>
      <c r="C22" s="231">
        <f>SUM(C19:C21)</f>
        <v>276175.49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32703.34</v>
      </c>
      <c r="C36" s="235">
        <f>'DOE25'!G200+'DOE25'!G218+'DOE25'!G236+'DOE25'!G279+'DOE25'!G298+'DOE25'!G317</f>
        <v>17106.759999999998</v>
      </c>
    </row>
    <row r="37" spans="1:3" x14ac:dyDescent="0.2">
      <c r="A37" t="s">
        <v>779</v>
      </c>
      <c r="B37" s="240">
        <v>32703.34</v>
      </c>
      <c r="C37" s="240">
        <v>17106.759999999998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32703.34</v>
      </c>
      <c r="C40" s="231">
        <f>SUM(C37:C39)</f>
        <v>17106.759999999998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Epsom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6446342.5600000005</v>
      </c>
      <c r="D5" s="20">
        <f>SUM('DOE25'!L197:L200)+SUM('DOE25'!L215:L218)+SUM('DOE25'!L233:L236)-F5-G5</f>
        <v>6428808.0600000005</v>
      </c>
      <c r="E5" s="243"/>
      <c r="F5" s="255">
        <f>SUM('DOE25'!J197:J200)+SUM('DOE25'!J215:J218)+SUM('DOE25'!J233:J236)</f>
        <v>17204.5</v>
      </c>
      <c r="G5" s="53">
        <f>SUM('DOE25'!K197:K200)+SUM('DOE25'!K215:K218)+SUM('DOE25'!K233:K236)</f>
        <v>330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562971.18999999994</v>
      </c>
      <c r="D6" s="20">
        <f>'DOE25'!L202+'DOE25'!L220+'DOE25'!L238-F6-G6</f>
        <v>561619.57999999996</v>
      </c>
      <c r="E6" s="243"/>
      <c r="F6" s="255">
        <f>'DOE25'!J202+'DOE25'!J220+'DOE25'!J238</f>
        <v>0</v>
      </c>
      <c r="G6" s="53">
        <f>'DOE25'!K202+'DOE25'!K220+'DOE25'!K238</f>
        <v>1351.61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85873.420000000013</v>
      </c>
      <c r="D7" s="20">
        <f>'DOE25'!L203+'DOE25'!L221+'DOE25'!L239-F7-G7</f>
        <v>85873.420000000013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187157.81999999998</v>
      </c>
      <c r="D8" s="243"/>
      <c r="E8" s="20">
        <f>'DOE25'!L204+'DOE25'!L222+'DOE25'!L240-F8-G8-D9-D11</f>
        <v>183691.46999999997</v>
      </c>
      <c r="F8" s="255">
        <f>'DOE25'!J204+'DOE25'!J222+'DOE25'!J240</f>
        <v>0</v>
      </c>
      <c r="G8" s="53">
        <f>'DOE25'!K204+'DOE25'!K222+'DOE25'!K240</f>
        <v>3466.35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10745.52</v>
      </c>
      <c r="D9" s="244">
        <v>10745.52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5460</v>
      </c>
      <c r="D10" s="243"/>
      <c r="E10" s="244">
        <v>5460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67094.710000000006</v>
      </c>
      <c r="D11" s="244">
        <v>67094.710000000006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527212.70000000007</v>
      </c>
      <c r="D12" s="20">
        <f>'DOE25'!L205+'DOE25'!L223+'DOE25'!L241-F12-G12</f>
        <v>524231.83000000007</v>
      </c>
      <c r="E12" s="243"/>
      <c r="F12" s="255">
        <f>'DOE25'!J205+'DOE25'!J223+'DOE25'!J241</f>
        <v>2639.87</v>
      </c>
      <c r="G12" s="53">
        <f>'DOE25'!K205+'DOE25'!K223+'DOE25'!K241</f>
        <v>341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416890.64999999997</v>
      </c>
      <c r="D14" s="20">
        <f>'DOE25'!L207+'DOE25'!L225+'DOE25'!L243-F14-G14</f>
        <v>413185.94999999995</v>
      </c>
      <c r="E14" s="243"/>
      <c r="F14" s="255">
        <f>'DOE25'!J207+'DOE25'!J225+'DOE25'!J243</f>
        <v>3704.7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423277.16</v>
      </c>
      <c r="D15" s="20">
        <f>'DOE25'!L208+'DOE25'!L226+'DOE25'!L244-F15-G15</f>
        <v>423277.16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2000</v>
      </c>
      <c r="D22" s="243"/>
      <c r="E22" s="243"/>
      <c r="F22" s="255">
        <f>'DOE25'!L255+'DOE25'!L336</f>
        <v>2000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115971.47</v>
      </c>
      <c r="D29" s="20">
        <f>'DOE25'!L358+'DOE25'!L359+'DOE25'!L360-'DOE25'!I367-F29-G29</f>
        <v>115852.47</v>
      </c>
      <c r="E29" s="243"/>
      <c r="F29" s="255">
        <f>'DOE25'!J358+'DOE25'!J359+'DOE25'!J360</f>
        <v>109</v>
      </c>
      <c r="G29" s="53">
        <f>'DOE25'!K358+'DOE25'!K359+'DOE25'!K360</f>
        <v>10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104847.56</v>
      </c>
      <c r="D31" s="20">
        <f>'DOE25'!L290+'DOE25'!L309+'DOE25'!L328+'DOE25'!L333+'DOE25'!L334+'DOE25'!L335-F31-G31</f>
        <v>97325.42</v>
      </c>
      <c r="E31" s="243"/>
      <c r="F31" s="255">
        <f>'DOE25'!J290+'DOE25'!J309+'DOE25'!J328+'DOE25'!J333+'DOE25'!J334+'DOE25'!J335</f>
        <v>5452.72</v>
      </c>
      <c r="G31" s="53">
        <f>'DOE25'!K290+'DOE25'!K309+'DOE25'!K328+'DOE25'!K333+'DOE25'!K334+'DOE25'!K335</f>
        <v>2069.42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8728014.120000001</v>
      </c>
      <c r="E33" s="246">
        <f>SUM(E5:E31)</f>
        <v>189151.46999999997</v>
      </c>
      <c r="F33" s="246">
        <f>SUM(F5:F31)</f>
        <v>31110.79</v>
      </c>
      <c r="G33" s="246">
        <f>SUM(G5:G31)</f>
        <v>7568.38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189151.46999999997</v>
      </c>
      <c r="E35" s="249"/>
    </row>
    <row r="36" spans="2:8" ht="12" thickTop="1" x14ac:dyDescent="0.2">
      <c r="B36" t="s">
        <v>815</v>
      </c>
      <c r="D36" s="20">
        <f>D33</f>
        <v>8728014.120000001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477941.01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202524.41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39573.56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50773.56</v>
      </c>
      <c r="D12" s="95">
        <f>'DOE25'!G13</f>
        <v>6033.09</v>
      </c>
      <c r="E12" s="95">
        <f>'DOE25'!H13</f>
        <v>37572.58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12732.28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568288.13</v>
      </c>
      <c r="D18" s="41">
        <f>SUM(D8:D17)</f>
        <v>18765.370000000003</v>
      </c>
      <c r="E18" s="41">
        <f>SUM(E8:E17)</f>
        <v>37572.58</v>
      </c>
      <c r="F18" s="41">
        <f>SUM(F8:F17)</f>
        <v>0</v>
      </c>
      <c r="G18" s="41">
        <f>SUM(G8:G17)</f>
        <v>202524.41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7103.09</v>
      </c>
      <c r="E21" s="95">
        <f>'DOE25'!H22</f>
        <v>32470.47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172968.6</v>
      </c>
      <c r="D22" s="95">
        <f>'DOE25'!G23</f>
        <v>970.09</v>
      </c>
      <c r="E22" s="95">
        <f>'DOE25'!H23</f>
        <v>5102.1099999999997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269830.94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1924.18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444723.72000000003</v>
      </c>
      <c r="D31" s="41">
        <f>SUM(D21:D30)</f>
        <v>8073.18</v>
      </c>
      <c r="E31" s="41">
        <f>SUM(E21:E30)</f>
        <v>37572.58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10692.19</v>
      </c>
      <c r="E47" s="95">
        <f>'DOE25'!H48</f>
        <v>0</v>
      </c>
      <c r="F47" s="95">
        <f>'DOE25'!I48</f>
        <v>0</v>
      </c>
      <c r="G47" s="95">
        <f>'DOE25'!J48</f>
        <v>202524.41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83564.41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123564.41</v>
      </c>
      <c r="D50" s="41">
        <f>SUM(D34:D49)</f>
        <v>10692.19</v>
      </c>
      <c r="E50" s="41">
        <f>SUM(E34:E49)</f>
        <v>0</v>
      </c>
      <c r="F50" s="41">
        <f>SUM(F34:F49)</f>
        <v>0</v>
      </c>
      <c r="G50" s="41">
        <f>SUM(G34:G49)</f>
        <v>202524.41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568288.13</v>
      </c>
      <c r="D51" s="41">
        <f>D50+D31</f>
        <v>18765.370000000003</v>
      </c>
      <c r="E51" s="41">
        <f>E50+E31</f>
        <v>37572.58</v>
      </c>
      <c r="F51" s="41">
        <f>F50+F31</f>
        <v>0</v>
      </c>
      <c r="G51" s="41">
        <f>G50+G31</f>
        <v>202524.41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5188940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5877.53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344.35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1305.1199999999999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92189.39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15362.529999999999</v>
      </c>
      <c r="D61" s="95">
        <f>SUM('DOE25'!G98:G110)</f>
        <v>2129.31</v>
      </c>
      <c r="E61" s="95">
        <f>SUM('DOE25'!H98:H110)</f>
        <v>0</v>
      </c>
      <c r="F61" s="95">
        <f>SUM('DOE25'!I98:I110)</f>
        <v>0</v>
      </c>
      <c r="G61" s="95">
        <f>SUM('DOE25'!J98:J110)</f>
        <v>-323.49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22584.41</v>
      </c>
      <c r="D62" s="130">
        <f>SUM(D57:D61)</f>
        <v>94318.7</v>
      </c>
      <c r="E62" s="130">
        <f>SUM(E57:E61)</f>
        <v>0</v>
      </c>
      <c r="F62" s="130">
        <f>SUM(F57:F61)</f>
        <v>0</v>
      </c>
      <c r="G62" s="130">
        <f>SUM(G57:G61)</f>
        <v>981.62999999999988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5211524.41</v>
      </c>
      <c r="D63" s="22">
        <f>D56+D62</f>
        <v>94318.7</v>
      </c>
      <c r="E63" s="22">
        <f>E56+E62</f>
        <v>0</v>
      </c>
      <c r="F63" s="22">
        <f>F56+F62</f>
        <v>0</v>
      </c>
      <c r="G63" s="22">
        <f>G56+G62</f>
        <v>981.62999999999988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2524219.5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920387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3444606.5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18235.39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347.01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18235.39</v>
      </c>
      <c r="D78" s="130">
        <f>SUM(D72:D77)</f>
        <v>347.01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3462841.89</v>
      </c>
      <c r="D81" s="130">
        <f>SUM(D79:D80)+D78+D70</f>
        <v>347.01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74094.64</v>
      </c>
      <c r="D88" s="95">
        <f>SUM('DOE25'!G153:G161)</f>
        <v>79895.42</v>
      </c>
      <c r="E88" s="95">
        <f>SUM('DOE25'!H153:H161)</f>
        <v>104847.56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74094.64</v>
      </c>
      <c r="D91" s="131">
        <f>SUM(D85:D90)</f>
        <v>79895.42</v>
      </c>
      <c r="E91" s="131">
        <f>SUM(E85:E90)</f>
        <v>104847.56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85.5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85.5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8748460.9400000013</v>
      </c>
      <c r="D104" s="86">
        <f>D63+D81+D91+D103</f>
        <v>174646.63</v>
      </c>
      <c r="E104" s="86">
        <f>E63+E81+E91+E103</f>
        <v>104847.56</v>
      </c>
      <c r="F104" s="86">
        <f>F63+F81+F91+F103</f>
        <v>0</v>
      </c>
      <c r="G104" s="86">
        <f>G63+G81+G103</f>
        <v>981.62999999999988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5049072.5600000005</v>
      </c>
      <c r="D109" s="24" t="s">
        <v>289</v>
      </c>
      <c r="E109" s="95">
        <f>('DOE25'!L276)+('DOE25'!L295)+('DOE25'!L314)</f>
        <v>98603.09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1341907.6600000001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55362.34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6446342.5600000005</v>
      </c>
      <c r="D115" s="86">
        <f>SUM(D109:D114)</f>
        <v>0</v>
      </c>
      <c r="E115" s="86">
        <f>SUM(E109:E114)</f>
        <v>98603.09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562971.18999999994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85873.420000000013</v>
      </c>
      <c r="D119" s="24" t="s">
        <v>289</v>
      </c>
      <c r="E119" s="95">
        <f>+('DOE25'!L282)+('DOE25'!L301)+('DOE25'!L320)</f>
        <v>3925.05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264998.05</v>
      </c>
      <c r="D120" s="24" t="s">
        <v>289</v>
      </c>
      <c r="E120" s="95">
        <f>+('DOE25'!L283)+('DOE25'!L302)+('DOE25'!L321)</f>
        <v>2319.42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527212.70000000007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416890.64999999997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423277.16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173954.44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2281223.17</v>
      </c>
      <c r="D128" s="86">
        <f>SUM(D118:D127)</f>
        <v>173954.44</v>
      </c>
      <c r="E128" s="86">
        <f>SUM(E118:E127)</f>
        <v>6244.47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85.5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861.23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120.39999999999999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-981.63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27586.560000000001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29672.06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8757237.790000001</v>
      </c>
      <c r="D145" s="86">
        <f>(D115+D128+D144)</f>
        <v>173954.44</v>
      </c>
      <c r="E145" s="86">
        <f>(E115+E128+E144)</f>
        <v>104847.56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Epsom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14111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14111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5147676</v>
      </c>
      <c r="D10" s="182">
        <f>ROUND((C10/$C$28)*100,1)</f>
        <v>57.6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1341908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55362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562971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89798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267317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527213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416891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423277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27586.560000000001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79635.3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8939634.8600000013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2000</v>
      </c>
    </row>
    <row r="30" spans="1:4" x14ac:dyDescent="0.2">
      <c r="B30" s="187" t="s">
        <v>729</v>
      </c>
      <c r="C30" s="180">
        <f>SUM(C28:C29)</f>
        <v>8941634.8600000013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5188940</v>
      </c>
      <c r="D35" s="182">
        <f t="shared" ref="D35:D40" si="1">ROUND((C35/$C$41)*100,1)</f>
        <v>58.1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23566.040000000037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3444607</v>
      </c>
      <c r="D37" s="182">
        <f t="shared" si="1"/>
        <v>38.6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18582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258838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8934533.0399999991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Epsom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2</v>
      </c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9</v>
      </c>
      <c r="C6" s="285" t="s">
        <v>912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12</v>
      </c>
      <c r="C7" s="285" t="s">
        <v>912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2015-10-20T13:03:50Z</cp:lastPrinted>
  <dcterms:created xsi:type="dcterms:W3CDTF">1997-12-04T19:04:30Z</dcterms:created>
  <dcterms:modified xsi:type="dcterms:W3CDTF">2015-10-20T13:07:03Z</dcterms:modified>
</cp:coreProperties>
</file>