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75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20" i="12" l="1"/>
  <c r="C19" i="12"/>
  <c r="B21" i="12"/>
  <c r="B20" i="12"/>
  <c r="C11" i="12"/>
  <c r="B11" i="12"/>
  <c r="J604" i="1"/>
  <c r="H604" i="1"/>
  <c r="J593" i="1"/>
  <c r="J592" i="1"/>
  <c r="H591" i="1"/>
  <c r="J591" i="1"/>
  <c r="H592" i="1"/>
  <c r="H541" i="1"/>
  <c r="F541" i="1"/>
  <c r="F543" i="1"/>
  <c r="H543" i="1"/>
  <c r="J595" i="1"/>
  <c r="H595" i="1"/>
  <c r="J594" i="1"/>
  <c r="H594" i="1"/>
  <c r="F582" i="1"/>
  <c r="F579" i="1"/>
  <c r="I543" i="1"/>
  <c r="G543" i="1"/>
  <c r="G541" i="1"/>
  <c r="G521" i="1"/>
  <c r="G533" i="1"/>
  <c r="G531" i="1"/>
  <c r="G528" i="1"/>
  <c r="G526" i="1"/>
  <c r="F528" i="1"/>
  <c r="F521" i="1"/>
  <c r="F526" i="1"/>
  <c r="G523" i="1"/>
  <c r="F533" i="1"/>
  <c r="F531" i="1"/>
  <c r="H526" i="1"/>
  <c r="H528" i="1"/>
  <c r="J521" i="1"/>
  <c r="I523" i="1"/>
  <c r="I521" i="1"/>
  <c r="H523" i="1"/>
  <c r="H13" i="1"/>
  <c r="F9" i="1"/>
  <c r="J473" i="1"/>
  <c r="J468" i="1"/>
  <c r="G440" i="1"/>
  <c r="F440" i="1"/>
  <c r="I314" i="1"/>
  <c r="H314" i="1"/>
  <c r="G314" i="1"/>
  <c r="F314" i="1"/>
  <c r="I276" i="1"/>
  <c r="H276" i="1"/>
  <c r="G276" i="1"/>
  <c r="F276" i="1"/>
  <c r="G320" i="1" l="1"/>
  <c r="H282" i="1"/>
  <c r="H283" i="1"/>
  <c r="H320" i="1"/>
  <c r="F320" i="1"/>
  <c r="G282" i="1"/>
  <c r="F282" i="1"/>
  <c r="I320" i="1"/>
  <c r="G319" i="1"/>
  <c r="F319" i="1"/>
  <c r="G283" i="1"/>
  <c r="F283" i="1"/>
  <c r="I282" i="1"/>
  <c r="G281" i="1"/>
  <c r="F281" i="1"/>
  <c r="I277" i="1"/>
  <c r="J276" i="1"/>
  <c r="K266" i="1" l="1"/>
  <c r="K263" i="1" l="1"/>
  <c r="K261" i="1"/>
  <c r="K260" i="1"/>
  <c r="H255" i="1"/>
  <c r="H198" i="1"/>
  <c r="I244" i="1"/>
  <c r="H244" i="1"/>
  <c r="G244" i="1"/>
  <c r="F244" i="1"/>
  <c r="J243" i="1"/>
  <c r="I243" i="1"/>
  <c r="H243" i="1"/>
  <c r="G243" i="1"/>
  <c r="F243" i="1"/>
  <c r="J240" i="1"/>
  <c r="K240" i="1"/>
  <c r="I240" i="1"/>
  <c r="H240" i="1"/>
  <c r="G240" i="1"/>
  <c r="F240" i="1"/>
  <c r="H239" i="1"/>
  <c r="I239" i="1"/>
  <c r="G239" i="1"/>
  <c r="F239" i="1"/>
  <c r="H238" i="1"/>
  <c r="G238" i="1"/>
  <c r="K238" i="1"/>
  <c r="J238" i="1"/>
  <c r="I238" i="1"/>
  <c r="F238" i="1"/>
  <c r="K234" i="1"/>
  <c r="J234" i="1"/>
  <c r="I234" i="1"/>
  <c r="G234" i="1"/>
  <c r="F234" i="1"/>
  <c r="H233" i="1"/>
  <c r="K233" i="1"/>
  <c r="J233" i="1"/>
  <c r="I233" i="1"/>
  <c r="G233" i="1"/>
  <c r="F233" i="1"/>
  <c r="H208" i="1"/>
  <c r="J208" i="1" l="1"/>
  <c r="I208" i="1"/>
  <c r="G208" i="1"/>
  <c r="F208" i="1"/>
  <c r="H207" i="1"/>
  <c r="K207" i="1"/>
  <c r="J207" i="1"/>
  <c r="I207" i="1"/>
  <c r="G207" i="1"/>
  <c r="F207" i="1"/>
  <c r="K204" i="1"/>
  <c r="I204" i="1"/>
  <c r="H204" i="1"/>
  <c r="G204" i="1"/>
  <c r="F204" i="1"/>
  <c r="H203" i="1"/>
  <c r="J203" i="1"/>
  <c r="I203" i="1"/>
  <c r="G203" i="1"/>
  <c r="F203" i="1"/>
  <c r="J202" i="1"/>
  <c r="I202" i="1"/>
  <c r="H202" i="1"/>
  <c r="G202" i="1"/>
  <c r="F202" i="1"/>
  <c r="H200" i="1"/>
  <c r="J200" i="1"/>
  <c r="I200" i="1"/>
  <c r="G200" i="1"/>
  <c r="F200" i="1"/>
  <c r="F198" i="1"/>
  <c r="G198" i="1"/>
  <c r="K198" i="1"/>
  <c r="J198" i="1"/>
  <c r="I198" i="1"/>
  <c r="H197" i="1"/>
  <c r="J197" i="1"/>
  <c r="I197" i="1"/>
  <c r="G197" i="1"/>
  <c r="F197" i="1"/>
  <c r="F68" i="1" l="1"/>
  <c r="H336" i="1"/>
  <c r="H472" i="1"/>
  <c r="H468" i="1"/>
  <c r="F360" i="1"/>
  <c r="J360" i="1"/>
  <c r="G158" i="1"/>
  <c r="G132" i="1"/>
  <c r="G97" i="1"/>
  <c r="F96" i="1" l="1"/>
  <c r="F17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E123" i="2" s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E132" i="2" s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H79" i="1"/>
  <c r="E57" i="2" s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E85" i="2" s="1"/>
  <c r="H162" i="1"/>
  <c r="I147" i="1"/>
  <c r="I169" i="1" s="1"/>
  <c r="I162" i="1"/>
  <c r="L250" i="1"/>
  <c r="C113" i="2" s="1"/>
  <c r="L332" i="1"/>
  <c r="L254" i="1"/>
  <c r="L268" i="1"/>
  <c r="C142" i="2" s="1"/>
  <c r="L269" i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3" i="1"/>
  <c r="J551" i="1" s="1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D18" i="2" s="1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F76" i="2"/>
  <c r="F78" i="2" s="1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D91" i="2" s="1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3" i="2"/>
  <c r="D115" i="2"/>
  <c r="F115" i="2"/>
  <c r="G115" i="2"/>
  <c r="E120" i="2"/>
  <c r="E121" i="2"/>
  <c r="E125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F461" i="1" s="1"/>
  <c r="H639" i="1" s="1"/>
  <c r="G460" i="1"/>
  <c r="H460" i="1"/>
  <c r="G461" i="1"/>
  <c r="H461" i="1"/>
  <c r="F470" i="1"/>
  <c r="G470" i="1"/>
  <c r="H470" i="1"/>
  <c r="I470" i="1"/>
  <c r="I476" i="1" s="1"/>
  <c r="H625" i="1" s="1"/>
  <c r="J470" i="1"/>
  <c r="F474" i="1"/>
  <c r="F476" i="1" s="1"/>
  <c r="H622" i="1" s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40" i="1"/>
  <c r="G641" i="1"/>
  <c r="H641" i="1"/>
  <c r="J641" i="1" s="1"/>
  <c r="G643" i="1"/>
  <c r="H643" i="1"/>
  <c r="J643" i="1" s="1"/>
  <c r="G644" i="1"/>
  <c r="G650" i="1"/>
  <c r="G651" i="1"/>
  <c r="J651" i="1" s="1"/>
  <c r="G652" i="1"/>
  <c r="H652" i="1"/>
  <c r="G653" i="1"/>
  <c r="H653" i="1"/>
  <c r="G654" i="1"/>
  <c r="H654" i="1"/>
  <c r="H655" i="1"/>
  <c r="F192" i="1"/>
  <c r="A31" i="12"/>
  <c r="G62" i="2"/>
  <c r="J476" i="1"/>
  <c r="H626" i="1" s="1"/>
  <c r="H476" i="1"/>
  <c r="H624" i="1" s="1"/>
  <c r="J140" i="1"/>
  <c r="H140" i="1"/>
  <c r="J640" i="1"/>
  <c r="L570" i="1"/>
  <c r="H545" i="1" l="1"/>
  <c r="J624" i="1"/>
  <c r="J639" i="1"/>
  <c r="G645" i="1"/>
  <c r="J644" i="1"/>
  <c r="K500" i="1"/>
  <c r="I460" i="1"/>
  <c r="I452" i="1"/>
  <c r="I446" i="1"/>
  <c r="G642" i="1" s="1"/>
  <c r="G161" i="2"/>
  <c r="C78" i="2"/>
  <c r="C81" i="2" s="1"/>
  <c r="J645" i="1"/>
  <c r="H192" i="1"/>
  <c r="J622" i="1"/>
  <c r="G552" i="1"/>
  <c r="F552" i="1"/>
  <c r="F22" i="13"/>
  <c r="C22" i="13" s="1"/>
  <c r="C130" i="2"/>
  <c r="C32" i="10"/>
  <c r="C131" i="2"/>
  <c r="E112" i="2"/>
  <c r="D19" i="13"/>
  <c r="C19" i="13" s="1"/>
  <c r="C114" i="2"/>
  <c r="G545" i="1"/>
  <c r="J545" i="1"/>
  <c r="G164" i="2"/>
  <c r="G157" i="2"/>
  <c r="G156" i="2"/>
  <c r="J655" i="1"/>
  <c r="I545" i="1"/>
  <c r="L534" i="1"/>
  <c r="L256" i="1"/>
  <c r="F257" i="1"/>
  <c r="F271" i="1" s="1"/>
  <c r="G192" i="1"/>
  <c r="I52" i="1"/>
  <c r="H620" i="1" s="1"/>
  <c r="E103" i="2"/>
  <c r="D81" i="2"/>
  <c r="K551" i="1"/>
  <c r="H552" i="1"/>
  <c r="K549" i="1"/>
  <c r="F130" i="2"/>
  <c r="F144" i="2" s="1"/>
  <c r="F145" i="2" s="1"/>
  <c r="C123" i="2"/>
  <c r="K598" i="1"/>
  <c r="G647" i="1" s="1"/>
  <c r="J571" i="1"/>
  <c r="F571" i="1"/>
  <c r="K571" i="1"/>
  <c r="L565" i="1"/>
  <c r="L571" i="1" s="1"/>
  <c r="H571" i="1"/>
  <c r="L560" i="1"/>
  <c r="L524" i="1"/>
  <c r="H52" i="1"/>
  <c r="H619" i="1" s="1"/>
  <c r="J619" i="1" s="1"/>
  <c r="D31" i="2"/>
  <c r="E31" i="2"/>
  <c r="F18" i="2"/>
  <c r="C26" i="10"/>
  <c r="H169" i="1"/>
  <c r="F169" i="1"/>
  <c r="L401" i="1"/>
  <c r="C139" i="2" s="1"/>
  <c r="L393" i="1"/>
  <c r="C138" i="2" s="1"/>
  <c r="C25" i="10"/>
  <c r="E114" i="2"/>
  <c r="L309" i="1"/>
  <c r="E122" i="2"/>
  <c r="D18" i="13"/>
  <c r="C18" i="13" s="1"/>
  <c r="D17" i="13"/>
  <c r="C17" i="13" s="1"/>
  <c r="L229" i="1"/>
  <c r="G660" i="1" s="1"/>
  <c r="E16" i="13"/>
  <c r="E119" i="2"/>
  <c r="E118" i="2"/>
  <c r="F338" i="1"/>
  <c r="F352" i="1" s="1"/>
  <c r="L328" i="1"/>
  <c r="C11" i="10"/>
  <c r="H338" i="1"/>
  <c r="H352" i="1" s="1"/>
  <c r="G338" i="1"/>
  <c r="G352" i="1" s="1"/>
  <c r="C18" i="10"/>
  <c r="C21" i="10"/>
  <c r="K338" i="1"/>
  <c r="K352" i="1" s="1"/>
  <c r="E110" i="2"/>
  <c r="C132" i="2"/>
  <c r="L270" i="1"/>
  <c r="C20" i="10"/>
  <c r="D14" i="13"/>
  <c r="C14" i="13" s="1"/>
  <c r="C122" i="2"/>
  <c r="C121" i="2"/>
  <c r="C16" i="10"/>
  <c r="C118" i="2"/>
  <c r="C13" i="10"/>
  <c r="A40" i="12"/>
  <c r="C12" i="10"/>
  <c r="C110" i="2"/>
  <c r="H257" i="1"/>
  <c r="H271" i="1" s="1"/>
  <c r="K257" i="1"/>
  <c r="K271" i="1" s="1"/>
  <c r="J257" i="1"/>
  <c r="J271" i="1" s="1"/>
  <c r="I257" i="1"/>
  <c r="I271" i="1" s="1"/>
  <c r="G257" i="1"/>
  <c r="G271" i="1" s="1"/>
  <c r="L247" i="1"/>
  <c r="C17" i="10"/>
  <c r="C119" i="2"/>
  <c r="D7" i="13"/>
  <c r="C7" i="13" s="1"/>
  <c r="J617" i="1"/>
  <c r="E62" i="2"/>
  <c r="E63" i="2" s="1"/>
  <c r="J634" i="1"/>
  <c r="G661" i="1"/>
  <c r="D29" i="13"/>
  <c r="C29" i="13" s="1"/>
  <c r="L362" i="1"/>
  <c r="G635" i="1" s="1"/>
  <c r="J635" i="1" s="1"/>
  <c r="H661" i="1"/>
  <c r="L211" i="1"/>
  <c r="C109" i="2"/>
  <c r="D5" i="13"/>
  <c r="C5" i="13" s="1"/>
  <c r="A13" i="12"/>
  <c r="C10" i="10"/>
  <c r="C70" i="2"/>
  <c r="F112" i="1"/>
  <c r="C18" i="2"/>
  <c r="C16" i="13"/>
  <c r="E13" i="13"/>
  <c r="C13" i="13" s="1"/>
  <c r="E8" i="13"/>
  <c r="C8" i="13" s="1"/>
  <c r="D12" i="13"/>
  <c r="C12" i="13" s="1"/>
  <c r="L290" i="1"/>
  <c r="L539" i="1"/>
  <c r="K503" i="1"/>
  <c r="L382" i="1"/>
  <c r="G636" i="1" s="1"/>
  <c r="J636" i="1" s="1"/>
  <c r="E109" i="2"/>
  <c r="G81" i="2"/>
  <c r="C62" i="2"/>
  <c r="F661" i="1"/>
  <c r="C19" i="10"/>
  <c r="C15" i="10"/>
  <c r="G112" i="1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I662" i="1" s="1"/>
  <c r="C35" i="10"/>
  <c r="H25" i="13"/>
  <c r="E81" i="2"/>
  <c r="F81" i="2"/>
  <c r="L351" i="1"/>
  <c r="H647" i="1"/>
  <c r="G625" i="1"/>
  <c r="J625" i="1" s="1"/>
  <c r="L614" i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G18" i="2" s="1"/>
  <c r="J19" i="1"/>
  <c r="G621" i="1" s="1"/>
  <c r="F545" i="1"/>
  <c r="H434" i="1"/>
  <c r="J620" i="1"/>
  <c r="D103" i="2"/>
  <c r="D104" i="2" s="1"/>
  <c r="I140" i="1"/>
  <c r="A22" i="12"/>
  <c r="G50" i="2"/>
  <c r="J652" i="1"/>
  <c r="G571" i="1"/>
  <c r="I434" i="1"/>
  <c r="G434" i="1"/>
  <c r="I663" i="1"/>
  <c r="C36" i="10" l="1"/>
  <c r="I193" i="1"/>
  <c r="G630" i="1" s="1"/>
  <c r="J630" i="1" s="1"/>
  <c r="C141" i="2"/>
  <c r="C144" i="2" s="1"/>
  <c r="J647" i="1"/>
  <c r="G51" i="2"/>
  <c r="I461" i="1"/>
  <c r="H642" i="1" s="1"/>
  <c r="J642" i="1" s="1"/>
  <c r="E128" i="2"/>
  <c r="H660" i="1"/>
  <c r="H664" i="1" s="1"/>
  <c r="H667" i="1" s="1"/>
  <c r="E115" i="2"/>
  <c r="L338" i="1"/>
  <c r="L352" i="1" s="1"/>
  <c r="G633" i="1" s="1"/>
  <c r="J633" i="1" s="1"/>
  <c r="H648" i="1"/>
  <c r="J648" i="1" s="1"/>
  <c r="L257" i="1"/>
  <c r="L271" i="1" s="1"/>
  <c r="G632" i="1" s="1"/>
  <c r="J632" i="1" s="1"/>
  <c r="C128" i="2"/>
  <c r="F193" i="1"/>
  <c r="G627" i="1" s="1"/>
  <c r="J627" i="1" s="1"/>
  <c r="E104" i="2"/>
  <c r="G664" i="1"/>
  <c r="G672" i="1" s="1"/>
  <c r="C5" i="10" s="1"/>
  <c r="I661" i="1"/>
  <c r="C27" i="10"/>
  <c r="C28" i="10" s="1"/>
  <c r="F660" i="1"/>
  <c r="F664" i="1" s="1"/>
  <c r="F672" i="1" s="1"/>
  <c r="C4" i="10" s="1"/>
  <c r="C115" i="2"/>
  <c r="C25" i="13"/>
  <c r="H33" i="13"/>
  <c r="L408" i="1"/>
  <c r="E33" i="13"/>
  <c r="D35" i="13" s="1"/>
  <c r="C63" i="2"/>
  <c r="C104" i="2" s="1"/>
  <c r="D31" i="13"/>
  <c r="C31" i="13" s="1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E145" i="2"/>
  <c r="D33" i="13"/>
  <c r="D36" i="13" s="1"/>
  <c r="G667" i="1"/>
  <c r="D22" i="10"/>
  <c r="D23" i="10"/>
  <c r="H672" i="1"/>
  <c r="C6" i="10" s="1"/>
  <c r="D16" i="10"/>
  <c r="D20" i="10"/>
  <c r="D15" i="10"/>
  <c r="D17" i="10"/>
  <c r="F667" i="1"/>
  <c r="D10" i="10"/>
  <c r="D12" i="10"/>
  <c r="D18" i="10"/>
  <c r="C30" i="10"/>
  <c r="D19" i="10"/>
  <c r="D27" i="10"/>
  <c r="D26" i="10"/>
  <c r="D25" i="10"/>
  <c r="D24" i="10"/>
  <c r="D13" i="10"/>
  <c r="D11" i="10"/>
  <c r="D21" i="10"/>
  <c r="I660" i="1"/>
  <c r="I664" i="1" s="1"/>
  <c r="I672" i="1" s="1"/>
  <c r="C7" i="10" s="1"/>
  <c r="G637" i="1"/>
  <c r="J637" i="1" s="1"/>
  <c r="H646" i="1"/>
  <c r="J646" i="1" s="1"/>
  <c r="C41" i="10"/>
  <c r="D38" i="10" s="1"/>
  <c r="H656" i="1" l="1"/>
  <c r="D28" i="10"/>
  <c r="I667" i="1"/>
  <c r="D37" i="10"/>
  <c r="D36" i="10"/>
  <c r="D35" i="10"/>
  <c r="D40" i="10"/>
  <c r="D39" i="10"/>
  <c r="D41" i="10" l="1"/>
  <c r="K544" i="1"/>
  <c r="K545" i="1" s="1"/>
  <c r="L542" i="1"/>
  <c r="L544" i="1" s="1"/>
  <c r="L545" i="1" s="1"/>
  <c r="J550" i="1" l="1"/>
  <c r="J552" i="1" s="1"/>
  <c r="K550" i="1" l="1"/>
  <c r="K552" i="1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<sst xmlns="http://schemas.openxmlformats.org/spreadsheetml/2006/main" count="3960" uniqueCount="918">
  <si>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</si>
  <si>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</si>
  <si>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</si>
  <si>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</si>
  <si>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</si>
  <si>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</si>
  <si>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</si>
  <si>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</si>
  <si>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</si>
  <si>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</si>
  <si>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</si>
  <si>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</si>
  <si>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</si>
  <si>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</si>
  <si>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</si>
  <si>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</si>
  <si>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</si>
  <si>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</si>
  <si>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</si>
  <si>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</si>
  <si>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</si>
  <si>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</si>
  <si>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</si>
  <si>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</si>
  <si>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</si>
  <si>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</si>
  <si>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</si>
  <si>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</si>
  <si>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</si>
  <si>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</si>
  <si>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</si>
  <si>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</si>
  <si>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</si>
  <si>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</si>
  <si>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</si>
  <si>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</si>
  <si>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</si>
  <si>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</si>
  <si>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</si>
  <si>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</si>
  <si>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</si>
  <si>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</si>
  <si>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</si>
  <si>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</si>
  <si>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</si>
  <si>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</si>
  <si>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</si>
  <si>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</si>
  <si>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</si>
  <si>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</si>
  <si>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</si>
  <si>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</si>
  <si>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</si>
  <si>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</si>
  <si>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</si>
  <si>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</si>
  <si>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</si>
  <si>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</si>
  <si>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</si>
  <si>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</si>
  <si>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</si>
  <si>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</si>
  <si>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</si>
  <si>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</si>
  <si>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</si>
  <si>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</si>
  <si>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</si>
  <si>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</si>
  <si>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</si>
  <si>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</si>
  <si>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</si>
  <si>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</si>
  <si>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</si>
  <si>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</si>
  <si>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</si>
  <si>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</si>
  <si>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</si>
  <si>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</si>
  <si>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</si>
  <si>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</si>
  <si>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</si>
  <si>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</si>
  <si>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</si>
  <si>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</si>
  <si>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</si>
  <si>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</si>
  <si>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</si>
  <si>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</si>
  <si>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</si>
  <si>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</si>
  <si>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</si>
  <si>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</si>
  <si>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</si>
  <si>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</si>
  <si>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</si>
  <si>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</si>
  <si>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</si>
  <si>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</si>
  <si>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</si>
  <si>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</si>
  <si>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</si>
  <si>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</si>
  <si>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</si>
  <si>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</si>
  <si>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</si>
  <si>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</si>
  <si>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</si>
  <si>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</si>
  <si>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</si>
  <si>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</si>
  <si>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</si>
  <si>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</si>
  <si>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</si>
  <si>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</si>
  <si>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</si>
  <si>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</si>
  <si>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</si>
  <si>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</si>
  <si>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</si>
  <si>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</si>
  <si>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</si>
  <si>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</si>
  <si>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</si>
  <si>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</si>
  <si>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</si>
  <si>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</si>
  <si>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</si>
  <si>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</si>
  <si>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</si>
  <si>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</si>
  <si>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</si>
  <si>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</si>
  <si>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</si>
  <si>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</si>
  <si>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</si>
  <si>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</si>
  <si>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</si>
  <si>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</si>
  <si>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</si>
  <si>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</si>
  <si>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</si>
  <si>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</si>
  <si>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</si>
  <si>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</si>
  <si>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</si>
  <si>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</si>
  <si>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</si>
  <si>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</si>
  <si>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</si>
  <si>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</si>
  <si>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</si>
  <si>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</si>
  <si>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</si>
  <si>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</si>
  <si>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</si>
  <si>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</si>
  <si>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</si>
  <si>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</si>
  <si>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</si>
  <si>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</si>
  <si>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</si>
  <si>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</si>
  <si>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</si>
  <si>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</si>
  <si>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</si>
  <si>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</si>
  <si>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</si>
  <si>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</si>
  <si>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</si>
  <si>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</si>
  <si>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</si>
  <si>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</si>
  <si>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</si>
  <si>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</si>
  <si>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</si>
  <si>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</si>
  <si>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</si>
  <si>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</si>
  <si>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</si>
  <si>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</si>
  <si>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</si>
  <si>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</si>
  <si>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</si>
  <si>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</si>
  <si>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</si>
  <si>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</si>
  <si>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</si>
  <si>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</si>
  <si>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</si>
  <si>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</si>
  <si>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</si>
  <si>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</si>
  <si>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</si>
  <si>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</si>
  <si>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</si>
  <si>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</si>
  <si>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</si>
  <si>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</si>
  <si>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</si>
  <si>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</si>
  <si>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</si>
  <si>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</si>
  <si>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</si>
  <si>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</si>
  <si>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</si>
  <si>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</si>
  <si>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</si>
  <si>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</si>
  <si>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</si>
  <si>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</si>
  <si>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</si>
  <si>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</si>
  <si>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</si>
  <si>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</si>
  <si>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</si>
  <si>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</si>
  <si>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</si>
  <si>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</si>
  <si>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</si>
  <si>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</si>
  <si>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</si>
  <si>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</si>
  <si>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</si>
  <si>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</si>
  <si>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</si>
  <si>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</si>
  <si>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</si>
  <si>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</si>
  <si>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</si>
  <si>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</si>
  <si>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</si>
  <si>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</si>
  <si>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</si>
  <si>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</si>
  <si>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</si>
  <si>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</si>
  <si>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</si>
  <si>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</si>
  <si>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</si>
  <si>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</si>
  <si>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</si>
  <si>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</si>
  <si>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</si>
  <si>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</si>
  <si>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</si>
  <si>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</si>
  <si>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</si>
  <si>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</si>
  <si>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</si>
  <si>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</si>
  <si>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</si>
  <si>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</si>
  <si>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</si>
  <si>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</si>
  <si>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</si>
  <si>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</si>
  <si>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</si>
  <si>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</si>
  <si>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</si>
  <si>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</si>
  <si>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</si>
  <si>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</si>
  <si>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</si>
  <si>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</si>
  <si>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</si>
  <si>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</si>
  <si>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</si>
  <si>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</si>
  <si>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</si>
  <si>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</si>
  <si>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</si>
  <si>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</si>
  <si>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</si>
  <si>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</si>
  <si>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</si>
  <si>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</si>
  <si>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</si>
  <si>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</si>
  <si>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</si>
  <si>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</si>
  <si>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</si>
  <si>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</si>
  <si>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</si>
  <si>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</si>
  <si>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</si>
  <si>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</si>
  <si>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</si>
  <si>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</si>
  <si>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</si>
  <si>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</si>
  <si>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</si>
  <si>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</si>
  <si>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</si>
  <si>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</si>
  <si>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</si>
  <si>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</si>
  <si>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</si>
  <si>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</si>
  <si>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</si>
  <si>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</si>
  <si>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</si>
  <si>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</si>
  <si>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</si>
  <si>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</si>
  <si>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</si>
  <si>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</si>
  <si>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</si>
  <si>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</si>
  <si>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</si>
  <si>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</si>
  <si>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</si>
  <si>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</si>
  <si>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</si>
  <si>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</si>
  <si>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</si>
  <si>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</si>
  <si>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</si>
  <si>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</si>
  <si>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</si>
  <si>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</si>
  <si>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</si>
  <si>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</si>
  <si>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</si>
  <si>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</si>
  <si>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</si>
  <si>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</si>
  <si>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</si>
  <si>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</si>
  <si>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</si>
  <si>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</si>
  <si>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</si>
  <si>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</si>
  <si>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</si>
  <si>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</si>
  <si>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</si>
  <si>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</si>
  <si>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</si>
  <si>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</si>
  <si>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</si>
  <si>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</si>
  <si>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</si>
  <si>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</si>
  <si>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</si>
  <si>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</si>
  <si>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</si>
  <si>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</si>
  <si>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</si>
  <si>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</si>
  <si>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</si>
  <si>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</si>
  <si>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</si>
  <si>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</si>
  <si>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</si>
  <si>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</si>
  <si>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</si>
  <si>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</si>
  <si>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</si>
  <si>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</si>
  <si>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</si>
  <si>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</si>
  <si>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</si>
  <si>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</si>
  <si>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</si>
  <si>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</si>
  <si>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</si>
  <si>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</si>
  <si>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</si>
  <si>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</si>
  <si>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</si>
  <si>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</si>
  <si>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</si>
  <si>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</si>
  <si>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</si>
  <si>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</si>
  <si>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</si>
  <si>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</si>
  <si>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</si>
  <si>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</si>
  <si>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</si>
  <si>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</si>
  <si>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</si>
  <si>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</si>
  <si>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</si>
  <si>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</si>
  <si>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</si>
  <si>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</si>
  <si>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</si>
  <si>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</si>
  <si>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</si>
  <si>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</si>
  <si>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</si>
  <si>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</si>
  <si>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</si>
  <si>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</si>
  <si>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</si>
  <si>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</si>
  <si>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</si>
  <si>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</si>
  <si>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</si>
  <si>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</si>
  <si>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</si>
  <si>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</si>
  <si>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</si>
  <si>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</si>
  <si>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</si>
  <si>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</si>
  <si>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</si>
  <si>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</si>
  <si>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</si>
  <si>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</si>
  <si>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</si>
  <si>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</si>
  <si>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</si>
  <si>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</si>
  <si>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</si>
  <si>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</si>
  <si>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</si>
  <si>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</si>
  <si>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</si>
  <si>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</si>
  <si>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</si>
  <si>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</si>
  <si>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</si>
  <si>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</si>
  <si>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</si>
  <si>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</si>
  <si>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</si>
  <si>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</si>
  <si>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</si>
  <si>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</si>
  <si>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</si>
  <si>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</si>
  <si>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</si>
  <si>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</si>
  <si>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</si>
  <si>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</si>
  <si>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</si>
  <si>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</si>
  <si>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</si>
  <si>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</si>
  <si>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</si>
  <si>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</si>
  <si>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</si>
  <si>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</si>
  <si>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</si>
  <si>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</si>
  <si>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</si>
  <si>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</si>
  <si>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</si>
  <si>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</si>
  <si>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</si>
  <si>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</si>
  <si>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</si>
  <si>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</si>
  <si>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</si>
  <si>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</si>
  <si>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</si>
  <si>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</si>
  <si>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</si>
  <si>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</si>
  <si>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</si>
  <si>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</si>
  <si>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</si>
  <si>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</si>
  <si>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</si>
  <si>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</si>
  <si>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</si>
  <si>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</si>
  <si>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</si>
  <si>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</si>
  <si>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</si>
  <si>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</si>
  <si>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</si>
  <si>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</si>
  <si>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</si>
  <si>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</si>
  <si>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</si>
  <si>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</si>
  <si>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</si>
  <si>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</si>
  <si>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</si>
  <si>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</si>
  <si>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</si>
  <si>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</si>
  <si>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</si>
  <si>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</si>
  <si>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</si>
  <si>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</si>
  <si>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</si>
  <si>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</si>
  <si>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</si>
  <si>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</si>
  <si>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</si>
  <si>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</si>
  <si>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</si>
  <si>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</si>
  <si>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</si>
  <si>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</si>
  <si>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</si>
  <si>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</si>
  <si>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</si>
  <si>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</si>
  <si>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</si>
  <si>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</si>
  <si>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</si>
  <si>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</si>
  <si>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</si>
  <si>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</si>
  <si>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</si>
  <si>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</si>
  <si>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</si>
  <si>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</si>
  <si>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</si>
  <si>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</si>
  <si>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</si>
  <si>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</si>
  <si>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</si>
  <si>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</si>
  <si>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</si>
  <si>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</si>
  <si>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</si>
  <si>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</si>
  <si>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</si>
  <si>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</si>
  <si>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</si>
  <si>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</si>
  <si>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</si>
  <si>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</si>
  <si>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</si>
  <si>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</si>
  <si>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</si>
  <si>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</si>
  <si>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</si>
  <si>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</si>
  <si>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</si>
  <si>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</si>
  <si>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</si>
  <si>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</si>
  <si>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</si>
  <si>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</si>
  <si>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</si>
  <si>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</si>
  <si>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</si>
  <si>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</si>
  <si>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</si>
  <si>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</si>
  <si>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</si>
  <si>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</si>
  <si>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</si>
  <si>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</si>
  <si>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</si>
  <si>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</si>
  <si>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</si>
  <si>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</si>
  <si>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</si>
  <si>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</si>
  <si>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</si>
  <si>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</si>
  <si>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</si>
  <si>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</si>
  <si>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</si>
  <si>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</si>
  <si>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</si>
  <si>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</si>
  <si>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</si>
  <si>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</si>
  <si>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</si>
  <si>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</si>
  <si>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</si>
  <si>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</si>
  <si>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</si>
  <si>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</si>
  <si>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</si>
  <si>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</si>
  <si>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</si>
  <si>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</si>
  <si>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</si>
  <si>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</si>
  <si>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</si>
  <si>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</si>
  <si>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</si>
  <si>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</si>
  <si>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</si>
  <si>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</si>
  <si>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</si>
  <si>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</si>
  <si>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</si>
  <si>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</si>
  <si>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</si>
  <si>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</si>
  <si>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</si>
  <si>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</si>
  <si>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</si>
  <si>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</si>
  <si>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</si>
  <si>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</si>
  <si>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</si>
  <si>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</si>
  <si>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</si>
  <si>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</si>
  <si>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</si>
  <si>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</si>
  <si>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</si>
  <si>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</si>
  <si>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</si>
  <si>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</si>
  <si>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</si>
  <si>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</si>
  <si>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</si>
  <si>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</si>
  <si>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</si>
  <si>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</si>
  <si>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</si>
  <si>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</si>
  <si>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</si>
  <si>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</si>
  <si>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</si>
  <si>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</si>
  <si>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</si>
  <si>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</si>
  <si>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</si>
  <si>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</si>
  <si>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</si>
  <si>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</si>
  <si>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</si>
  <si>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</si>
  <si>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</si>
  <si>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</si>
  <si>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</si>
  <si>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</si>
  <si>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</si>
  <si>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</si>
  <si>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</si>
  <si>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</si>
  <si>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</si>
  <si>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</si>
  <si>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</si>
  <si>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</si>
  <si>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</si>
  <si>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</si>
  <si>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</si>
  <si>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</si>
  <si>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</si>
  <si>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</si>
  <si>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</si>
  <si>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</si>
  <si>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</si>
  <si>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</si>
  <si>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</si>
  <si>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</si>
  <si>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</si>
  <si>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</si>
  <si>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</si>
  <si>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</si>
  <si>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</si>
  <si>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</si>
  <si>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</si>
  <si>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</si>
  <si>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</si>
  <si>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</si>
  <si>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</si>
  <si>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</si>
  <si>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</si>
  <si>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</si>
  <si>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</si>
  <si>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</si>
  <si>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</si>
  <si>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</si>
  <si>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</si>
  <si>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</si>
  <si>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</si>
  <si>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</si>
  <si>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</si>
  <si>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</si>
  <si>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</si>
  <si>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</si>
  <si>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</si>
  <si>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</si>
  <si>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</si>
  <si>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</si>
  <si>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</si>
  <si>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</si>
  <si>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</si>
  <si>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</si>
  <si>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</si>
  <si>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</si>
  <si>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</si>
  <si>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</si>
  <si>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</si>
  <si>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</si>
  <si>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</si>
  <si>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</si>
  <si>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</si>
  <si>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</si>
  <si>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</si>
  <si>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</si>
  <si>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</si>
  <si>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</si>
  <si>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</si>
  <si>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</si>
  <si>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</si>
  <si>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</si>
  <si>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</si>
  <si>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</si>
  <si>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</si>
  <si>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</si>
  <si>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</si>
  <si>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</si>
  <si>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</si>
  <si>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</si>
  <si>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</si>
  <si>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</si>
  <si>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</si>
  <si>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</si>
  <si>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</si>
  <si>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</si>
  <si>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</si>
  <si>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</si>
  <si>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</si>
  <si>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</si>
  <si>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</si>
  <si>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</si>
  <si>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</si>
  <si>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</si>
  <si>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</si>
  <si>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</si>
  <si>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</si>
  <si>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</si>
  <si>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</si>
  <si>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</si>
  <si>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</si>
  <si>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</si>
  <si>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</si>
  <si>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</si>
  <si>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</si>
  <si>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</si>
  <si>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</si>
  <si>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</si>
  <si>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</si>
  <si>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</si>
  <si>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</si>
  <si>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</si>
  <si>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</si>
  <si>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</si>
  <si>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</si>
  <si>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</si>
  <si>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</si>
  <si>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</si>
  <si>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</si>
  <si>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</si>
  <si>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</si>
  <si>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</si>
  <si>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</si>
  <si>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</si>
  <si>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</si>
  <si>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</si>
  <si>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</si>
  <si>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</si>
  <si>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</si>
  <si>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</si>
  <si>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</si>
  <si>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</si>
  <si>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</si>
  <si>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</si>
  <si>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</si>
  <si>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</si>
  <si>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</si>
  <si>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</si>
  <si>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</si>
  <si>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</si>
  <si>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</si>
  <si>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</si>
  <si>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</si>
  <si>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</si>
  <si>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</si>
  <si>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</si>
  <si>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</si>
  <si>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</si>
  <si>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</si>
  <si>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</si>
  <si>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</si>
  <si>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</si>
  <si>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</si>
  <si>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</si>
  <si>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</si>
  <si>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</si>
  <si>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</si>
  <si>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</si>
  <si>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</si>
  <si>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</si>
  <si>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</si>
  <si>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</si>
  <si>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</si>
  <si>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</si>
  <si>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</si>
  <si>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</si>
  <si>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</si>
  <si>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</si>
  <si>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</si>
  <si>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</si>
  <si>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</si>
  <si>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</si>
  <si>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</si>
  <si>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</si>
  <si>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</si>
  <si>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</si>
  <si>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</si>
  <si>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</si>
  <si>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</si>
  <si>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</si>
  <si>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</si>
  <si>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</si>
  <si>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</si>
  <si>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</si>
  <si>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</si>
  <si>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</si>
  <si>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</si>
  <si>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</si>
  <si>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</si>
  <si>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</si>
  <si>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</si>
  <si>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</si>
  <si>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</si>
  <si>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</si>
  <si>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</si>
  <si>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</si>
  <si>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</si>
  <si>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</si>
  <si>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</si>
  <si>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</si>
  <si>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</si>
  <si>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</si>
  <si>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</si>
  <si>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</si>
  <si>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</si>
  <si>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</si>
  <si>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</si>
  <si>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</si>
  <si>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</si>
  <si>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</si>
  <si>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</si>
  <si>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</si>
  <si>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</si>
  <si>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</si>
  <si>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</si>
  <si>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</si>
  <si>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</si>
  <si>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</si>
  <si>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</si>
  <si>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</si>
  <si>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</si>
  <si>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</si>
  <si>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</si>
  <si>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</si>
  <si>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</si>
  <si>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</si>
  <si>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</si>
  <si>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</si>
  <si>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</si>
  <si>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</si>
  <si>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</si>
  <si>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</si>
  <si>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</si>
  <si>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</si>
  <si>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</si>
  <si>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</si>
  <si>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</si>
  <si>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</si>
  <si>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</si>
  <si>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</si>
  <si>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</si>
  <si>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</si>
  <si>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</si>
  <si>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</si>
  <si>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</si>
  <si>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</si>
  <si>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</si>
  <si>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</si>
  <si>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</si>
  <si>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</si>
  <si>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</si>
  <si>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</si>
  <si>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</si>
  <si>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</si>
  <si>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</si>
  <si>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</si>
  <si>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</si>
  <si>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</si>
  <si>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</si>
  <si>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</si>
  <si>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</si>
  <si>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</si>
  <si>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</si>
  <si>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</si>
  <si>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</si>
  <si>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</si>
  <si>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</si>
  <si>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</si>
  <si>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</si>
  <si>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</si>
  <si>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</si>
  <si>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</si>
  <si>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</si>
  <si>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</si>
  <si>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</si>
  <si>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</si>
  <si>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</si>
  <si>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</si>
  <si>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</si>
  <si>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</si>
  <si>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</si>
  <si>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08/05</t>
  </si>
  <si>
    <t>08/24</t>
  </si>
  <si>
    <t>09/10</t>
  </si>
  <si>
    <t>09/15</t>
  </si>
  <si>
    <t>Adjustment for unrealized gain/loss from prior year</t>
  </si>
  <si>
    <t>on fund per statement BB.</t>
  </si>
  <si>
    <t>Fall Mtn Regional School District - SAU60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</si>
</sst>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5" zoomScaleNormal="115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917</v>
      </c>
      <c r="B2" s="21">
        <v>174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1107687.9+1750</f>
        <v>1109437.8999999999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2471528.9500000002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289636.61</v>
      </c>
      <c r="G12" s="18">
        <v>-22326.98</v>
      </c>
      <c r="H12" s="18">
        <v>-267309.64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558280.82999999996</v>
      </c>
      <c r="G13" s="18">
        <v>22326.98</v>
      </c>
      <c r="H13" s="18">
        <f>21373.12+186037.41</f>
        <v>207410.53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47.17</v>
      </c>
      <c r="G14" s="18"/>
      <c r="H14" s="18">
        <v>175000.01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f>85332.29+256318</f>
        <v>341650.29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2299052.7999999998</v>
      </c>
      <c r="G19" s="41">
        <f>SUM(G9:G18)</f>
        <v>0</v>
      </c>
      <c r="H19" s="41">
        <f>SUM(H9:H18)</f>
        <v>115100.9</v>
      </c>
      <c r="I19" s="41">
        <f>SUM(I9:I18)</f>
        <v>0</v>
      </c>
      <c r="J19" s="41">
        <f>SUM(J9:J18)</f>
        <v>2471528.9500000002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349989.71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1905912.76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5587.13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2261489.6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37563.199999999997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115100.9</v>
      </c>
      <c r="I48" s="18"/>
      <c r="J48" s="13">
        <f>SUM(I459)</f>
        <v>2471528.9500000002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37563.199999999997</v>
      </c>
      <c r="G51" s="41">
        <f>SUM(G35:G50)</f>
        <v>0</v>
      </c>
      <c r="H51" s="41">
        <f>SUM(H35:H50)</f>
        <v>115100.9</v>
      </c>
      <c r="I51" s="41">
        <f>SUM(I35:I50)</f>
        <v>0</v>
      </c>
      <c r="J51" s="41">
        <f>SUM(J35:J50)</f>
        <v>2471528.9500000002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2299052.8000000003</v>
      </c>
      <c r="G52" s="41">
        <f>G51+G32</f>
        <v>0</v>
      </c>
      <c r="H52" s="41">
        <f>H51+H32</f>
        <v>115100.9</v>
      </c>
      <c r="I52" s="41">
        <f>I51+I32</f>
        <v>0</v>
      </c>
      <c r="J52" s="41">
        <f>J51+J32</f>
        <v>2471528.9500000002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14073875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14073875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f>296784.56+2379.87</f>
        <v>299164.43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299164.43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f>30000+657.28</f>
        <v>30657.279999999999</v>
      </c>
      <c r="G96" s="18"/>
      <c r="H96" s="18"/>
      <c r="I96" s="18"/>
      <c r="J96" s="18">
        <v>18088.75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27069.84+2499.5+2254.02+59939.97+43607.34+109454.25+15108.76</f>
        <v>259933.68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6486.63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69563.97</v>
      </c>
      <c r="G110" s="18"/>
      <c r="H110" s="18">
        <v>11925.08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100221.25</v>
      </c>
      <c r="G111" s="41">
        <f>SUM(G96:G110)</f>
        <v>259933.68</v>
      </c>
      <c r="H111" s="41">
        <f>SUM(H96:H110)</f>
        <v>18411.71</v>
      </c>
      <c r="I111" s="41">
        <f>SUM(I96:I110)</f>
        <v>0</v>
      </c>
      <c r="J111" s="41">
        <f>SUM(J96:J110)</f>
        <v>18088.75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14473260.68</v>
      </c>
      <c r="G112" s="41">
        <f>G60+G111</f>
        <v>259933.68</v>
      </c>
      <c r="H112" s="41">
        <f>H60+H79+H94+H111</f>
        <v>18411.71</v>
      </c>
      <c r="I112" s="41">
        <f>I60+I111</f>
        <v>0</v>
      </c>
      <c r="J112" s="41">
        <f>J60+J111</f>
        <v>18088.75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7972378.7400000002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2450792.9900000002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10423171.73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560387.86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184335.42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158796.16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28637.200000000001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7132.47+193.71+34.65+41.79+593.82+113.64+342.21</f>
        <v>8452.2899999999991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932156.64</v>
      </c>
      <c r="G136" s="41">
        <f>SUM(G123:G135)</f>
        <v>8452.2899999999991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11355328.370000001</v>
      </c>
      <c r="G140" s="41">
        <f>G121+SUM(G136:G137)</f>
        <v>8452.2899999999991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695503.42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233921.11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8297.7800000000007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28736.79+29260.19+7523.42+7017.06+38401.2+67895.71+30990.06+23526.24+14316.74+13178.31+77838.89</f>
        <v>338684.61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368095.22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286852.65999999997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286852.65999999997</v>
      </c>
      <c r="G162" s="41">
        <f>SUM(G150:G161)</f>
        <v>338684.61</v>
      </c>
      <c r="H162" s="41">
        <f>SUM(H150:H161)</f>
        <v>1305817.53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286852.65999999997</v>
      </c>
      <c r="G169" s="41">
        <f>G147+G162+SUM(G163:G168)</f>
        <v>338684.61</v>
      </c>
      <c r="H169" s="41">
        <f>H147+H162+SUM(H163:H168)</f>
        <v>1305817.53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256464.48</v>
      </c>
      <c r="H179" s="18"/>
      <c r="I179" s="18"/>
      <c r="J179" s="18">
        <v>500000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256464.48</v>
      </c>
      <c r="H183" s="41">
        <f>SUM(H179:H182)</f>
        <v>0</v>
      </c>
      <c r="I183" s="41">
        <f>SUM(I179:I182)</f>
        <v>0</v>
      </c>
      <c r="J183" s="41">
        <f>SUM(J179:J182)</f>
        <v>500000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691000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691000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691000</v>
      </c>
      <c r="G192" s="41">
        <f>G183+SUM(G188:G191)</f>
        <v>256464.48</v>
      </c>
      <c r="H192" s="41">
        <f>+H183+SUM(H188:H191)</f>
        <v>0</v>
      </c>
      <c r="I192" s="41">
        <f>I177+I183+SUM(I188:I191)</f>
        <v>0</v>
      </c>
      <c r="J192" s="41">
        <f>J183</f>
        <v>500000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26806441.710000001</v>
      </c>
      <c r="G193" s="47">
        <f>G112+G140+G169+G192</f>
        <v>863535.05999999994</v>
      </c>
      <c r="H193" s="47">
        <f>H112+H140+H169+H192</f>
        <v>1324229.24</v>
      </c>
      <c r="I193" s="47">
        <f>I112+I140+I169+I192</f>
        <v>0</v>
      </c>
      <c r="J193" s="47">
        <f>J112+J140+J192</f>
        <v>518088.75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4407823.13+2097.6</f>
        <v>4409920.7299999995</v>
      </c>
      <c r="G197" s="18">
        <f>2124132.7+326.28</f>
        <v>2124458.98</v>
      </c>
      <c r="H197" s="18">
        <f>31416.52+10413.67</f>
        <v>41830.19</v>
      </c>
      <c r="I197" s="18">
        <f>220867.3+1875.23</f>
        <v>222742.53</v>
      </c>
      <c r="J197" s="18">
        <f>86057.08+32045.44</f>
        <v>118102.52</v>
      </c>
      <c r="K197" s="18">
        <v>4327.8500000000004</v>
      </c>
      <c r="L197" s="19">
        <f>SUM(F197:K197)</f>
        <v>6921382.7999999989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1877790.49+616919.83+39682.74</f>
        <v>2534393.06</v>
      </c>
      <c r="G198" s="18">
        <f>520659.5+225942.47+3444.27</f>
        <v>750046.24</v>
      </c>
      <c r="H198" s="18">
        <f>2312.07+417646.62</f>
        <v>419958.69</v>
      </c>
      <c r="I198" s="18">
        <f>12196.28+7872.59</f>
        <v>20068.870000000003</v>
      </c>
      <c r="J198" s="18">
        <f>10539.83+4240.68</f>
        <v>14780.51</v>
      </c>
      <c r="K198" s="18">
        <f>12.59+2575.34</f>
        <v>2587.9300000000003</v>
      </c>
      <c r="L198" s="19">
        <f>SUM(F198:K198)</f>
        <v>3741835.3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57106+3885</f>
        <v>60991</v>
      </c>
      <c r="G200" s="18">
        <f>9442.97+321</f>
        <v>9763.9699999999993</v>
      </c>
      <c r="H200" s="18">
        <f>11050</f>
        <v>11050</v>
      </c>
      <c r="I200" s="18">
        <f>6583.31+1993.71</f>
        <v>8577.02</v>
      </c>
      <c r="J200" s="18">
        <f>3993.41+10041.48</f>
        <v>14034.89</v>
      </c>
      <c r="K200" s="18">
        <v>100</v>
      </c>
      <c r="L200" s="19">
        <f>SUM(F200:K200)</f>
        <v>104516.88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318871.03+205239.8</f>
        <v>524110.83</v>
      </c>
      <c r="G202" s="18">
        <f>617.27+125196.4+86333.93</f>
        <v>212147.59999999998</v>
      </c>
      <c r="H202" s="18">
        <f>2291.4+9911.62+2432.46</f>
        <v>14635.48</v>
      </c>
      <c r="I202" s="18">
        <f>3193.52+4443.97</f>
        <v>7637.49</v>
      </c>
      <c r="J202" s="18">
        <f>2235.27+1676.28</f>
        <v>3911.55</v>
      </c>
      <c r="K202" s="18"/>
      <c r="L202" s="19">
        <f t="shared" ref="L202:L208" si="0">SUM(F202:K202)</f>
        <v>762442.95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38695.74+21791.2+147577.39+161967.03</f>
        <v>370031.35999999999</v>
      </c>
      <c r="G203" s="18">
        <f>95280.88+62557.18+8608.51+48373.37</f>
        <v>214819.94</v>
      </c>
      <c r="H203" s="18">
        <f>21925.55+8557.16+12800+785.7</f>
        <v>44068.409999999996</v>
      </c>
      <c r="I203" s="18">
        <f>108.8+38916.29</f>
        <v>39025.090000000004</v>
      </c>
      <c r="J203" s="18">
        <f>1112.07</f>
        <v>1112.07</v>
      </c>
      <c r="K203" s="18">
        <v>4583.33</v>
      </c>
      <c r="L203" s="19">
        <f t="shared" si="0"/>
        <v>673640.2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3480+10226.44+128895.21</f>
        <v>142601.65</v>
      </c>
      <c r="G204" s="18">
        <f>13120.92+1153.65+47949.08</f>
        <v>62223.65</v>
      </c>
      <c r="H204" s="18">
        <f>58039.94+983.57+6672.85</f>
        <v>65696.36</v>
      </c>
      <c r="I204" s="18">
        <f>2657.7+3007.77</f>
        <v>5665.4699999999993</v>
      </c>
      <c r="J204" s="18">
        <v>1619</v>
      </c>
      <c r="K204" s="18">
        <f>3289.67+2093.85</f>
        <v>5383.52</v>
      </c>
      <c r="L204" s="19">
        <f t="shared" si="0"/>
        <v>283189.64999999997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723331.9</v>
      </c>
      <c r="G205" s="18">
        <v>286278.12</v>
      </c>
      <c r="H205" s="18">
        <v>11482.82</v>
      </c>
      <c r="I205" s="18">
        <v>12462.87</v>
      </c>
      <c r="J205" s="18">
        <v>5152.24</v>
      </c>
      <c r="K205" s="18">
        <v>6160.95</v>
      </c>
      <c r="L205" s="19">
        <f t="shared" si="0"/>
        <v>1044868.8999999999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126985.25</v>
      </c>
      <c r="G206" s="18">
        <v>42322.879999999997</v>
      </c>
      <c r="H206" s="18">
        <v>15700.81</v>
      </c>
      <c r="I206" s="18">
        <v>1616.92</v>
      </c>
      <c r="J206" s="18">
        <v>917.42</v>
      </c>
      <c r="K206" s="18">
        <v>929.33</v>
      </c>
      <c r="L206" s="19">
        <f t="shared" si="0"/>
        <v>188472.61000000002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434751.88+238328.14</f>
        <v>673080.02</v>
      </c>
      <c r="G207" s="18">
        <f>214030.38+106873.79</f>
        <v>320904.17</v>
      </c>
      <c r="H207" s="18">
        <f>115938.73+282058.85</f>
        <v>397997.57999999996</v>
      </c>
      <c r="I207" s="18">
        <f>359886.39+69464.49</f>
        <v>429350.88</v>
      </c>
      <c r="J207" s="18">
        <f>14863.2+24996.5</f>
        <v>39859.699999999997</v>
      </c>
      <c r="K207" s="18">
        <f>263.86</f>
        <v>263.86</v>
      </c>
      <c r="L207" s="19">
        <f t="shared" si="0"/>
        <v>1861456.21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225971.55+115753.08</f>
        <v>341724.63</v>
      </c>
      <c r="G208" s="18">
        <f>41474.3+21940.04</f>
        <v>63414.340000000004</v>
      </c>
      <c r="H208" s="18">
        <f>200598+7857.8</f>
        <v>208455.8</v>
      </c>
      <c r="I208" s="18">
        <f>8803.81+78213.13</f>
        <v>87016.94</v>
      </c>
      <c r="J208" s="18">
        <f>2885.27</f>
        <v>2885.27</v>
      </c>
      <c r="K208" s="18"/>
      <c r="L208" s="19">
        <f t="shared" si="0"/>
        <v>703496.98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9907170.4299999997</v>
      </c>
      <c r="G211" s="41">
        <f t="shared" si="1"/>
        <v>4086379.8899999997</v>
      </c>
      <c r="H211" s="41">
        <f t="shared" si="1"/>
        <v>1230876.1399999999</v>
      </c>
      <c r="I211" s="41">
        <f t="shared" si="1"/>
        <v>834164.07999999984</v>
      </c>
      <c r="J211" s="41">
        <f t="shared" si="1"/>
        <v>202375.16999999995</v>
      </c>
      <c r="K211" s="41">
        <f t="shared" si="1"/>
        <v>24336.770000000004</v>
      </c>
      <c r="L211" s="41">
        <f t="shared" si="1"/>
        <v>16285302.479999997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1711053.35+1398.4</f>
        <v>1712451.75</v>
      </c>
      <c r="G233" s="18">
        <f>217.52+824219.08</f>
        <v>824436.6</v>
      </c>
      <c r="H233" s="18">
        <f>6942.44+28450.7</f>
        <v>35393.14</v>
      </c>
      <c r="I233" s="18">
        <f>75327.15+1250.16</f>
        <v>76577.31</v>
      </c>
      <c r="J233" s="18">
        <f>21363.63+123027.57</f>
        <v>144391.20000000001</v>
      </c>
      <c r="K233" s="18">
        <f>8582.83</f>
        <v>8582.83</v>
      </c>
      <c r="L233" s="19">
        <f>SUM(F233:K233)</f>
        <v>2801832.8300000005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611952.73+411279.88</f>
        <v>1023232.61</v>
      </c>
      <c r="G234" s="18">
        <f>150628.31+248655.18</f>
        <v>399283.49</v>
      </c>
      <c r="H234" s="18">
        <v>453624.57</v>
      </c>
      <c r="I234" s="18">
        <f>10813.56+5248.4</f>
        <v>16061.96</v>
      </c>
      <c r="J234" s="18">
        <f>2827.12+1151.2</f>
        <v>3978.3199999999997</v>
      </c>
      <c r="K234" s="18">
        <f>6222.6+1716.89</f>
        <v>7939.4900000000007</v>
      </c>
      <c r="L234" s="19">
        <f>SUM(F234:K234)</f>
        <v>1904120.4400000002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402052</v>
      </c>
      <c r="G235" s="18">
        <v>165655.29</v>
      </c>
      <c r="H235" s="18">
        <v>229191.07</v>
      </c>
      <c r="I235" s="18">
        <v>67012.22</v>
      </c>
      <c r="J235" s="18">
        <v>7447.83</v>
      </c>
      <c r="K235" s="18">
        <v>185</v>
      </c>
      <c r="L235" s="19">
        <f>SUM(F235:K235)</f>
        <v>871543.41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213649.89</v>
      </c>
      <c r="G236" s="18">
        <v>51491.96</v>
      </c>
      <c r="H236" s="18">
        <v>63652.49</v>
      </c>
      <c r="I236" s="18">
        <v>6334.41</v>
      </c>
      <c r="J236" s="18">
        <v>10377.370000000001</v>
      </c>
      <c r="K236" s="18">
        <v>3030</v>
      </c>
      <c r="L236" s="19">
        <f>SUM(F236:K236)</f>
        <v>348536.12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286877.34+60961</f>
        <v>347838.34</v>
      </c>
      <c r="G238" s="18">
        <f>124368.33+33659.39+411.52</f>
        <v>158439.24</v>
      </c>
      <c r="H238" s="18">
        <f>14910.29+6607.74</f>
        <v>21518.03</v>
      </c>
      <c r="I238" s="18">
        <f>1867.4+1070.46</f>
        <v>2937.86</v>
      </c>
      <c r="J238" s="18">
        <f>875.44+1551.95</f>
        <v>2427.3900000000003</v>
      </c>
      <c r="K238" s="18">
        <f>507+80</f>
        <v>587</v>
      </c>
      <c r="L238" s="19">
        <f t="shared" ref="L238:L244" si="4">SUM(F238:K238)</f>
        <v>533747.86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14527.46+107978.02+32380+66466.19</f>
        <v>221351.67</v>
      </c>
      <c r="G239" s="18">
        <f>7180.49+24358.84+63520.59+41704.79</f>
        <v>136764.71</v>
      </c>
      <c r="H239" s="18">
        <f>5704.78+14617.03</f>
        <v>20321.810000000001</v>
      </c>
      <c r="I239" s="18">
        <f>12091+72.54+12972.1</f>
        <v>25135.64</v>
      </c>
      <c r="J239" s="18"/>
      <c r="K239" s="18">
        <v>3055.55</v>
      </c>
      <c r="L239" s="19">
        <f t="shared" si="4"/>
        <v>406629.38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2320+85930.14</f>
        <v>88250.14</v>
      </c>
      <c r="G240" s="18">
        <f>8747.28+31966.06</f>
        <v>40713.340000000004</v>
      </c>
      <c r="H240" s="18">
        <f>38693.29+4448.56</f>
        <v>43141.85</v>
      </c>
      <c r="I240" s="18">
        <f>1771.8+2005.18</f>
        <v>3776.98</v>
      </c>
      <c r="J240" s="18">
        <f>1079.34+479</f>
        <v>1558.34</v>
      </c>
      <c r="K240" s="18">
        <f>2193.11+1395.9</f>
        <v>3589.01</v>
      </c>
      <c r="L240" s="19">
        <f t="shared" si="4"/>
        <v>181029.66000000003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270914.08</v>
      </c>
      <c r="G241" s="18">
        <v>121426.06</v>
      </c>
      <c r="H241" s="18">
        <v>11948</v>
      </c>
      <c r="I241" s="18">
        <v>5885.99</v>
      </c>
      <c r="J241" s="18">
        <v>1746.25</v>
      </c>
      <c r="K241" s="18">
        <v>1454</v>
      </c>
      <c r="L241" s="19">
        <f t="shared" si="4"/>
        <v>413374.38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84656.84</v>
      </c>
      <c r="G242" s="18">
        <v>28215.25</v>
      </c>
      <c r="H242" s="18">
        <v>10467.209999999999</v>
      </c>
      <c r="I242" s="18">
        <v>1077.94</v>
      </c>
      <c r="J242" s="18">
        <v>611.91</v>
      </c>
      <c r="K242" s="18">
        <v>619.55999999999995</v>
      </c>
      <c r="L242" s="19">
        <f t="shared" si="4"/>
        <v>125648.70999999999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158885.43+196012.76</f>
        <v>354898.19</v>
      </c>
      <c r="G243" s="18">
        <f>103743.07+71249.19</f>
        <v>174992.26</v>
      </c>
      <c r="H243" s="18">
        <f>77292.49+205029.24</f>
        <v>282321.73</v>
      </c>
      <c r="I243" s="18">
        <f>208525.89+46309.66</f>
        <v>254835.55000000002</v>
      </c>
      <c r="J243" s="18">
        <f>9908.8+435.6</f>
        <v>10344.4</v>
      </c>
      <c r="K243" s="18">
        <v>175.91</v>
      </c>
      <c r="L243" s="19">
        <f t="shared" si="4"/>
        <v>1077568.0399999998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77168.72+171771.24</f>
        <v>248939.96</v>
      </c>
      <c r="G244" s="18">
        <f>28781.06+14626.7</f>
        <v>43407.76</v>
      </c>
      <c r="H244" s="18">
        <f>130408+8949.96+5238.53</f>
        <v>144596.49</v>
      </c>
      <c r="I244" s="18">
        <f>5869.2+52142.06</f>
        <v>58011.259999999995</v>
      </c>
      <c r="J244" s="18">
        <v>1923.52</v>
      </c>
      <c r="K244" s="18"/>
      <c r="L244" s="19">
        <f t="shared" si="4"/>
        <v>496878.99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4968235.47</v>
      </c>
      <c r="G247" s="41">
        <f t="shared" si="5"/>
        <v>2144825.96</v>
      </c>
      <c r="H247" s="41">
        <f t="shared" si="5"/>
        <v>1316176.3899999999</v>
      </c>
      <c r="I247" s="41">
        <f t="shared" si="5"/>
        <v>517647.12</v>
      </c>
      <c r="J247" s="41">
        <f t="shared" si="5"/>
        <v>184806.53</v>
      </c>
      <c r="K247" s="41">
        <f t="shared" si="5"/>
        <v>29218.35</v>
      </c>
      <c r="L247" s="41">
        <f t="shared" si="5"/>
        <v>9160909.8200000003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344439.25+206040.21</f>
        <v>550479.46</v>
      </c>
      <c r="I255" s="18"/>
      <c r="J255" s="18"/>
      <c r="K255" s="18"/>
      <c r="L255" s="19">
        <f t="shared" si="6"/>
        <v>550479.46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550479.46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550479.46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14875405.899999999</v>
      </c>
      <c r="G257" s="41">
        <f t="shared" si="8"/>
        <v>6231205.8499999996</v>
      </c>
      <c r="H257" s="41">
        <f t="shared" si="8"/>
        <v>3097531.9899999998</v>
      </c>
      <c r="I257" s="41">
        <f t="shared" si="8"/>
        <v>1351811.1999999997</v>
      </c>
      <c r="J257" s="41">
        <f t="shared" si="8"/>
        <v>387181.69999999995</v>
      </c>
      <c r="K257" s="41">
        <f t="shared" si="8"/>
        <v>53555.12</v>
      </c>
      <c r="L257" s="41">
        <f t="shared" si="8"/>
        <v>25996691.759999998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100000+608490.4</f>
        <v>708490.4</v>
      </c>
      <c r="L260" s="19">
        <f>SUM(F260:K260)</f>
        <v>708490.4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28481.52+42265</f>
        <v>70746.52</v>
      </c>
      <c r="L261" s="19">
        <f>SUM(F261:K261)</f>
        <v>70746.52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37473.74+61537.47+53103.91+104349.36</f>
        <v>256464.47999999998</v>
      </c>
      <c r="L263" s="19">
        <f>SUM(F263:K263)</f>
        <v>256464.47999999998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250000+37653+15324+13427+109749+73847</f>
        <v>500000</v>
      </c>
      <c r="L266" s="19">
        <f t="shared" si="9"/>
        <v>500000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1535701.4</v>
      </c>
      <c r="L270" s="41">
        <f t="shared" si="9"/>
        <v>1535701.4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14875405.899999999</v>
      </c>
      <c r="G271" s="42">
        <f t="shared" si="11"/>
        <v>6231205.8499999996</v>
      </c>
      <c r="H271" s="42">
        <f t="shared" si="11"/>
        <v>3097531.9899999998</v>
      </c>
      <c r="I271" s="42">
        <f t="shared" si="11"/>
        <v>1351811.1999999997</v>
      </c>
      <c r="J271" s="42">
        <f t="shared" si="11"/>
        <v>387181.69999999995</v>
      </c>
      <c r="K271" s="42">
        <f t="shared" si="11"/>
        <v>1589256.52</v>
      </c>
      <c r="L271" s="42">
        <f t="shared" si="11"/>
        <v>27532393.159999996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253996.26+9282.78+6184+7717.54</f>
        <v>277180.58</v>
      </c>
      <c r="G276" s="18">
        <f>73642.58+766.78+1312.62+1946.21</f>
        <v>77668.19</v>
      </c>
      <c r="H276" s="18">
        <f>4770+159.2+1533.29</f>
        <v>6462.49</v>
      </c>
      <c r="I276" s="18">
        <f>7446.47+580.47+1172</f>
        <v>9198.94</v>
      </c>
      <c r="J276" s="18">
        <f>11429.33+1596</f>
        <v>13025.33</v>
      </c>
      <c r="K276" s="18"/>
      <c r="L276" s="19">
        <f>SUM(F276:K276)</f>
        <v>383535.53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3198.95</v>
      </c>
      <c r="I277" s="18">
        <f>2751.44+8476.16</f>
        <v>11227.6</v>
      </c>
      <c r="J277" s="18">
        <v>2379.0100000000002</v>
      </c>
      <c r="K277" s="18"/>
      <c r="L277" s="19">
        <f>SUM(F277:K277)</f>
        <v>16805.559999999998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>
        <v>132.15</v>
      </c>
      <c r="J278" s="18">
        <v>6800</v>
      </c>
      <c r="K278" s="18"/>
      <c r="L278" s="19">
        <f>SUM(F278:K278)</f>
        <v>6932.15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9642.7900000000009</v>
      </c>
      <c r="G279" s="18">
        <v>2071.9699999999998</v>
      </c>
      <c r="H279" s="18"/>
      <c r="I279" s="18">
        <v>613.35</v>
      </c>
      <c r="J279" s="18"/>
      <c r="K279" s="18"/>
      <c r="L279" s="19">
        <f>SUM(F279:K279)</f>
        <v>12328.11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937.5+5059.99+31985.42+70335.12+82462.84</f>
        <v>190780.87</v>
      </c>
      <c r="G281" s="18">
        <f>178.85-2961.36+2070.04+9403.1+17898.98+23008.29</f>
        <v>49597.9</v>
      </c>
      <c r="H281" s="18">
        <v>637.58000000000004</v>
      </c>
      <c r="I281" s="18">
        <v>457.87</v>
      </c>
      <c r="J281" s="18"/>
      <c r="K281" s="18"/>
      <c r="L281" s="19">
        <f t="shared" ref="L281:L287" si="12">SUM(F281:K281)</f>
        <v>241474.21999999997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1070+3400+13757.34+2486.4+6215.66+7629</f>
        <v>34558.400000000001</v>
      </c>
      <c r="G282" s="18">
        <f>205.39+344.22+3001.85+551.33+1008.01+1681.48</f>
        <v>6792.2800000000007</v>
      </c>
      <c r="H282" s="18">
        <f>8287.5+12490+25088.56+18783.38+22694.58+10680+22637.17+24587.81+3098.67</f>
        <v>148347.67000000001</v>
      </c>
      <c r="I282" s="18">
        <f>665.39+4190.71+9432.61+239.4+534.71</f>
        <v>15062.82</v>
      </c>
      <c r="J282" s="18">
        <v>4093.2</v>
      </c>
      <c r="K282" s="18">
        <v>1243.01</v>
      </c>
      <c r="L282" s="19">
        <f t="shared" si="12"/>
        <v>210097.38000000003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f>27134.35+3024.65</f>
        <v>30159</v>
      </c>
      <c r="G283" s="18">
        <f>9588.64+912.34</f>
        <v>10500.98</v>
      </c>
      <c r="H283" s="18">
        <f>507.39</f>
        <v>507.39</v>
      </c>
      <c r="I283" s="18">
        <v>709.52</v>
      </c>
      <c r="J283" s="18"/>
      <c r="K283" s="18"/>
      <c r="L283" s="19">
        <f t="shared" si="12"/>
        <v>41876.889999999992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>
        <v>1891.1</v>
      </c>
      <c r="I284" s="18"/>
      <c r="J284" s="18"/>
      <c r="K284" s="18"/>
      <c r="L284" s="19">
        <f t="shared" si="12"/>
        <v>1891.1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7039.85</v>
      </c>
      <c r="L285" s="19">
        <f t="shared" si="12"/>
        <v>7039.85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8121.64</v>
      </c>
      <c r="I287" s="18"/>
      <c r="J287" s="18"/>
      <c r="K287" s="18"/>
      <c r="L287" s="19">
        <f t="shared" si="12"/>
        <v>8121.64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542321.64</v>
      </c>
      <c r="G290" s="42">
        <f t="shared" si="13"/>
        <v>146631.32</v>
      </c>
      <c r="H290" s="42">
        <f t="shared" si="13"/>
        <v>169166.82000000004</v>
      </c>
      <c r="I290" s="42">
        <f t="shared" si="13"/>
        <v>37402.249999999993</v>
      </c>
      <c r="J290" s="42">
        <f t="shared" si="13"/>
        <v>26297.54</v>
      </c>
      <c r="K290" s="42">
        <f t="shared" si="13"/>
        <v>8282.86</v>
      </c>
      <c r="L290" s="41">
        <f t="shared" si="13"/>
        <v>930102.43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1546+5145.02</f>
        <v>6691.02</v>
      </c>
      <c r="G314" s="18">
        <f>328.15+1297.48</f>
        <v>1625.63</v>
      </c>
      <c r="H314" s="18">
        <f>39.8+1022.2</f>
        <v>1062</v>
      </c>
      <c r="I314" s="18">
        <f>145.12+781.34</f>
        <v>926.46</v>
      </c>
      <c r="J314" s="18">
        <v>399</v>
      </c>
      <c r="K314" s="18"/>
      <c r="L314" s="19">
        <f>SUM(F314:K314)</f>
        <v>10704.11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>
        <v>2119.04</v>
      </c>
      <c r="J315" s="18">
        <v>594.75</v>
      </c>
      <c r="K315" s="18"/>
      <c r="L315" s="19">
        <f>SUM(F315:K315)</f>
        <v>2713.79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7996.35+17583.78+20615.71</f>
        <v>46195.839999999997</v>
      </c>
      <c r="G319" s="18">
        <f>2350.77+4474.74+5752.07</f>
        <v>12577.58</v>
      </c>
      <c r="H319" s="18">
        <v>159.38999999999999</v>
      </c>
      <c r="I319" s="18"/>
      <c r="J319" s="18"/>
      <c r="K319" s="18"/>
      <c r="L319" s="19">
        <f t="shared" ref="L319:L325" si="16">SUM(F319:K319)</f>
        <v>58932.81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3439.34+621.6+1553.91+5086</f>
        <v>10700.85</v>
      </c>
      <c r="G320" s="18">
        <f>750.46+137.83+252+1120.98</f>
        <v>2261.27</v>
      </c>
      <c r="H320" s="18">
        <f>4695.85+5673.65+2670+5659.29+16391.87+9296</f>
        <v>44386.66</v>
      </c>
      <c r="I320" s="18">
        <f>59.85+133.68</f>
        <v>193.53</v>
      </c>
      <c r="J320" s="18">
        <v>2728.8</v>
      </c>
      <c r="K320" s="18"/>
      <c r="L320" s="19">
        <f t="shared" si="16"/>
        <v>60271.110000000008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756.16</v>
      </c>
      <c r="G321" s="18">
        <v>228.09</v>
      </c>
      <c r="H321" s="18"/>
      <c r="I321" s="18"/>
      <c r="J321" s="18"/>
      <c r="K321" s="18"/>
      <c r="L321" s="19">
        <f t="shared" si="16"/>
        <v>984.25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>
        <v>472.78</v>
      </c>
      <c r="I322" s="18"/>
      <c r="J322" s="18"/>
      <c r="K322" s="18"/>
      <c r="L322" s="19">
        <f t="shared" si="16"/>
        <v>472.78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4693.2299999999996</v>
      </c>
      <c r="L323" s="19">
        <f t="shared" si="16"/>
        <v>4693.2299999999996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64343.87</v>
      </c>
      <c r="G328" s="42">
        <f t="shared" si="17"/>
        <v>16692.57</v>
      </c>
      <c r="H328" s="42">
        <f t="shared" si="17"/>
        <v>46080.83</v>
      </c>
      <c r="I328" s="42">
        <f t="shared" si="17"/>
        <v>3239.03</v>
      </c>
      <c r="J328" s="42">
        <f t="shared" si="17"/>
        <v>3722.55</v>
      </c>
      <c r="K328" s="42">
        <f t="shared" si="17"/>
        <v>4693.2299999999996</v>
      </c>
      <c r="L328" s="41">
        <f t="shared" si="17"/>
        <v>138772.08000000002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>
        <f>193268.87+7755</f>
        <v>201023.87</v>
      </c>
      <c r="I336" s="18"/>
      <c r="J336" s="18">
        <v>1523.49</v>
      </c>
      <c r="K336" s="18"/>
      <c r="L336" s="19">
        <f t="shared" si="18"/>
        <v>202547.36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201023.87</v>
      </c>
      <c r="I337" s="41">
        <f t="shared" si="19"/>
        <v>0</v>
      </c>
      <c r="J337" s="41">
        <f t="shared" si="19"/>
        <v>1523.49</v>
      </c>
      <c r="K337" s="41">
        <f t="shared" si="19"/>
        <v>0</v>
      </c>
      <c r="L337" s="41">
        <f t="shared" si="18"/>
        <v>202547.36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606665.51</v>
      </c>
      <c r="G338" s="41">
        <f t="shared" si="20"/>
        <v>163323.89000000001</v>
      </c>
      <c r="H338" s="41">
        <f t="shared" si="20"/>
        <v>416271.52</v>
      </c>
      <c r="I338" s="41">
        <f t="shared" si="20"/>
        <v>40641.279999999992</v>
      </c>
      <c r="J338" s="41">
        <f t="shared" si="20"/>
        <v>31543.58</v>
      </c>
      <c r="K338" s="41">
        <f t="shared" si="20"/>
        <v>12976.09</v>
      </c>
      <c r="L338" s="41">
        <f t="shared" si="20"/>
        <v>1271421.8700000001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606665.51</v>
      </c>
      <c r="G352" s="41">
        <f>G338</f>
        <v>163323.89000000001</v>
      </c>
      <c r="H352" s="41">
        <f>H338</f>
        <v>416271.52</v>
      </c>
      <c r="I352" s="41">
        <f>I338</f>
        <v>40641.279999999992</v>
      </c>
      <c r="J352" s="41">
        <f>J338</f>
        <v>31543.58</v>
      </c>
      <c r="K352" s="47">
        <f>K338+K351</f>
        <v>12976.09</v>
      </c>
      <c r="L352" s="41">
        <f>L338+L351</f>
        <v>1271421.8700000001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202799.46</v>
      </c>
      <c r="G358" s="18">
        <v>52063.25</v>
      </c>
      <c r="H358" s="18">
        <v>44965.18</v>
      </c>
      <c r="I358" s="18">
        <v>231450.41</v>
      </c>
      <c r="J358" s="18">
        <v>19978.37</v>
      </c>
      <c r="K358" s="18"/>
      <c r="L358" s="13">
        <f>SUM(F358:K358)</f>
        <v>551256.67000000004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95142.68+3819.26+3688.41</f>
        <v>102650.34999999999</v>
      </c>
      <c r="G360" s="18">
        <v>47538.09</v>
      </c>
      <c r="H360" s="18">
        <v>28677.16</v>
      </c>
      <c r="I360" s="18">
        <v>109411.56</v>
      </c>
      <c r="J360" s="18">
        <f>17850.6+5555+595.63</f>
        <v>24001.23</v>
      </c>
      <c r="K360" s="18"/>
      <c r="L360" s="19">
        <f>SUM(F360:K360)</f>
        <v>312278.39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305449.81</v>
      </c>
      <c r="G362" s="47">
        <f t="shared" si="22"/>
        <v>99601.34</v>
      </c>
      <c r="H362" s="47">
        <f t="shared" si="22"/>
        <v>73642.34</v>
      </c>
      <c r="I362" s="47">
        <f t="shared" si="22"/>
        <v>340861.97</v>
      </c>
      <c r="J362" s="47">
        <f t="shared" si="22"/>
        <v>43979.6</v>
      </c>
      <c r="K362" s="47">
        <f t="shared" si="22"/>
        <v>0</v>
      </c>
      <c r="L362" s="47">
        <f t="shared" si="22"/>
        <v>863535.06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55932.63</v>
      </c>
      <c r="G367" s="18">
        <v>159229.25</v>
      </c>
      <c r="H367" s="18">
        <v>98965.7</v>
      </c>
      <c r="I367" s="56">
        <f>SUM(F367:H367)</f>
        <v>314127.58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3848.97</v>
      </c>
      <c r="G368" s="63">
        <v>12439.56</v>
      </c>
      <c r="H368" s="63">
        <v>10445.86</v>
      </c>
      <c r="I368" s="56">
        <f>SUM(F368:H368)</f>
        <v>26734.39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59781.599999999999</v>
      </c>
      <c r="G369" s="47">
        <f>SUM(G367:G368)</f>
        <v>171668.81</v>
      </c>
      <c r="H369" s="47">
        <f>SUM(H367:H368)</f>
        <v>109411.56</v>
      </c>
      <c r="I369" s="47">
        <f>SUM(I367:I368)</f>
        <v>340861.97000000003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8635.07</v>
      </c>
      <c r="I388" s="18"/>
      <c r="J388" s="24" t="s">
        <v>289</v>
      </c>
      <c r="K388" s="24" t="s">
        <v>289</v>
      </c>
      <c r="L388" s="56">
        <f t="shared" si="25"/>
        <v>8635.07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500000</v>
      </c>
      <c r="H389" s="18"/>
      <c r="I389" s="18"/>
      <c r="J389" s="24" t="s">
        <v>289</v>
      </c>
      <c r="K389" s="24" t="s">
        <v>289</v>
      </c>
      <c r="L389" s="56">
        <f t="shared" si="25"/>
        <v>500000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500000</v>
      </c>
      <c r="H393" s="139">
        <f>SUM(H387:H392)</f>
        <v>8635.07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508635.07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>
        <v>0</v>
      </c>
      <c r="H395" s="18">
        <v>4582.55</v>
      </c>
      <c r="I395" s="18"/>
      <c r="J395" s="24" t="s">
        <v>289</v>
      </c>
      <c r="K395" s="24" t="s">
        <v>289</v>
      </c>
      <c r="L395" s="56">
        <f t="shared" ref="L395:L400" si="26">SUM(F395:K395)</f>
        <v>4582.55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0</v>
      </c>
      <c r="H397" s="18">
        <v>2773.48</v>
      </c>
      <c r="I397" s="18"/>
      <c r="J397" s="24" t="s">
        <v>289</v>
      </c>
      <c r="K397" s="24" t="s">
        <v>289</v>
      </c>
      <c r="L397" s="56">
        <f t="shared" si="26"/>
        <v>2773.48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0</v>
      </c>
      <c r="H400" s="18">
        <v>2097.65</v>
      </c>
      <c r="I400" s="18"/>
      <c r="J400" s="24" t="s">
        <v>289</v>
      </c>
      <c r="K400" s="24" t="s">
        <v>289</v>
      </c>
      <c r="L400" s="56">
        <f t="shared" si="26"/>
        <v>2097.65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9453.68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9453.68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500000</v>
      </c>
      <c r="H408" s="47">
        <f>H393+H401+H407</f>
        <v>18088.75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518088.75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>
        <v>691000</v>
      </c>
      <c r="L415" s="56">
        <f t="shared" si="27"/>
        <v>691000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691000</v>
      </c>
      <c r="L419" s="47">
        <f t="shared" si="28"/>
        <v>691000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691000</v>
      </c>
      <c r="L434" s="47">
        <f t="shared" si="32"/>
        <v>691000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1104264.96+352057.52+26078.67</f>
        <v>1482401.15</v>
      </c>
      <c r="G440" s="18">
        <f>700061.38+289066.42</f>
        <v>989127.8</v>
      </c>
      <c r="H440" s="18"/>
      <c r="I440" s="56">
        <f t="shared" si="33"/>
        <v>2471528.9500000002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1482401.15</v>
      </c>
      <c r="G446" s="13">
        <f>SUM(G439:G445)</f>
        <v>989127.8</v>
      </c>
      <c r="H446" s="13">
        <f>SUM(H439:H445)</f>
        <v>0</v>
      </c>
      <c r="I446" s="13">
        <f>SUM(I439:I445)</f>
        <v>2471528.9500000002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1482401.15</v>
      </c>
      <c r="G459" s="18">
        <v>989127.8</v>
      </c>
      <c r="H459" s="18"/>
      <c r="I459" s="56">
        <f t="shared" si="34"/>
        <v>2471528.9500000002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1482401.15</v>
      </c>
      <c r="G460" s="83">
        <f>SUM(G454:G459)</f>
        <v>989127.8</v>
      </c>
      <c r="H460" s="83">
        <f>SUM(H454:H459)</f>
        <v>0</v>
      </c>
      <c r="I460" s="83">
        <f>SUM(I454:I459)</f>
        <v>2471528.9500000002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1482401.15</v>
      </c>
      <c r="G461" s="42">
        <f>G452+G460</f>
        <v>989127.8</v>
      </c>
      <c r="H461" s="42">
        <f>H452+H460</f>
        <v>0</v>
      </c>
      <c r="I461" s="42">
        <f>I452+I460</f>
        <v>2471528.9500000002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763514.65</v>
      </c>
      <c r="G465" s="18">
        <v>0</v>
      </c>
      <c r="H465" s="18">
        <v>62293.53</v>
      </c>
      <c r="I465" s="18">
        <v>0</v>
      </c>
      <c r="J465" s="18">
        <v>2650566.04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26806441.710000001</v>
      </c>
      <c r="G468" s="18">
        <v>863535.06</v>
      </c>
      <c r="H468" s="18">
        <f>279426.1+23330.97+205752.8+815719.37</f>
        <v>1324229.24</v>
      </c>
      <c r="I468" s="18"/>
      <c r="J468" s="18">
        <f>500000+18088.75</f>
        <v>518088.75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26806441.710000001</v>
      </c>
      <c r="G470" s="53">
        <f>SUM(G468:G469)</f>
        <v>863535.06</v>
      </c>
      <c r="H470" s="53">
        <f>SUM(H468:H469)</f>
        <v>1324229.24</v>
      </c>
      <c r="I470" s="53">
        <f>SUM(I468:I469)</f>
        <v>0</v>
      </c>
      <c r="J470" s="53">
        <f>SUM(J468:J469)</f>
        <v>518088.75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27532393.16</v>
      </c>
      <c r="G472" s="18">
        <v>863535.06</v>
      </c>
      <c r="H472" s="18">
        <f>226618.73+23330.97+205752.8+815719.37</f>
        <v>1271421.8700000001</v>
      </c>
      <c r="I472" s="18"/>
      <c r="J472" s="18">
        <v>691000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>
        <f>5082.6+1043.24</f>
        <v>6125.84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27532393.16</v>
      </c>
      <c r="G474" s="53">
        <f>SUM(G472:G473)</f>
        <v>863535.06</v>
      </c>
      <c r="H474" s="53">
        <f>SUM(H472:H473)</f>
        <v>1271421.8700000001</v>
      </c>
      <c r="I474" s="53">
        <f>SUM(I472:I473)</f>
        <v>0</v>
      </c>
      <c r="J474" s="53">
        <f>SUM(J472:J473)</f>
        <v>697125.84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37563.199999999255</v>
      </c>
      <c r="G476" s="53">
        <f>(G465+G470)- G474</f>
        <v>0</v>
      </c>
      <c r="H476" s="53">
        <f>(H465+H470)- H474</f>
        <v>115100.89999999991</v>
      </c>
      <c r="I476" s="53">
        <f>(I465+I470)- I474</f>
        <v>0</v>
      </c>
      <c r="J476" s="53">
        <f>(J465+J470)- J474</f>
        <v>2471528.9500000002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915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 t="s">
        <v>916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19</v>
      </c>
      <c r="G490" s="154">
        <v>5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 t="s">
        <v>914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1911965</v>
      </c>
      <c r="G493" s="18">
        <v>3042452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0.05</v>
      </c>
      <c r="G494" s="18">
        <v>0.02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1100000</v>
      </c>
      <c r="G495" s="18">
        <v>1825471.19</v>
      </c>
      <c r="H495" s="18"/>
      <c r="I495" s="18"/>
      <c r="J495" s="18"/>
      <c r="K495" s="53">
        <f>SUM(F495:J495)</f>
        <v>2925471.19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100000</v>
      </c>
      <c r="G497" s="18">
        <v>608490.4</v>
      </c>
      <c r="H497" s="18"/>
      <c r="I497" s="18"/>
      <c r="J497" s="18"/>
      <c r="K497" s="53">
        <f t="shared" si="35"/>
        <v>708490.4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1000000</v>
      </c>
      <c r="G498" s="204">
        <v>1216977</v>
      </c>
      <c r="H498" s="204"/>
      <c r="I498" s="204"/>
      <c r="J498" s="204"/>
      <c r="K498" s="205">
        <f t="shared" si="35"/>
        <v>2216977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219217.5</v>
      </c>
      <c r="G499" s="18">
        <v>16000</v>
      </c>
      <c r="H499" s="18"/>
      <c r="I499" s="18"/>
      <c r="J499" s="18"/>
      <c r="K499" s="53">
        <f t="shared" si="35"/>
        <v>235217.5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1219217.5</v>
      </c>
      <c r="G500" s="42">
        <f>SUM(G498:G499)</f>
        <v>1232977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2452194.5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100000</v>
      </c>
      <c r="G501" s="204">
        <v>608490.4</v>
      </c>
      <c r="H501" s="204"/>
      <c r="I501" s="204"/>
      <c r="J501" s="204"/>
      <c r="K501" s="205">
        <f t="shared" si="35"/>
        <v>708490.4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37265</v>
      </c>
      <c r="G502" s="18">
        <v>16000</v>
      </c>
      <c r="H502" s="18"/>
      <c r="I502" s="18"/>
      <c r="J502" s="18"/>
      <c r="K502" s="53">
        <f t="shared" si="35"/>
        <v>53265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137265</v>
      </c>
      <c r="G503" s="42">
        <f>SUM(G501:G502)</f>
        <v>624490.4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761755.4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590451.74+194104.46+20709.24+172664+299653.26</f>
        <v>1277582.7</v>
      </c>
      <c r="G521" s="18">
        <f>571833.48-2744.96</f>
        <v>569088.52</v>
      </c>
      <c r="H521" s="18">
        <v>316529.05</v>
      </c>
      <c r="I521" s="18">
        <f>22791.48+1798.95</f>
        <v>24590.43</v>
      </c>
      <c r="J521" s="18">
        <f>13513.59+7067.8</f>
        <v>20581.39</v>
      </c>
      <c r="K521" s="18">
        <v>12.59</v>
      </c>
      <c r="L521" s="88">
        <f>SUM(F521:K521)</f>
        <v>2208384.6800000002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280227</v>
      </c>
      <c r="G523" s="18">
        <f>772747.95-G521</f>
        <v>203659.42999999993</v>
      </c>
      <c r="H523" s="18">
        <f>386212.86+1400</f>
        <v>387612.86</v>
      </c>
      <c r="I523" s="18">
        <f>13120.99+13565</f>
        <v>26685.989999999998</v>
      </c>
      <c r="J523" s="18">
        <v>1751</v>
      </c>
      <c r="K523" s="18">
        <v>6222.6</v>
      </c>
      <c r="L523" s="88">
        <f>SUM(F523:K523)</f>
        <v>906158.87999999989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1557809.7</v>
      </c>
      <c r="G524" s="108">
        <f t="shared" ref="G524:L524" si="36">SUM(G521:G523)</f>
        <v>772747.95</v>
      </c>
      <c r="H524" s="108">
        <f t="shared" si="36"/>
        <v>704141.90999999992</v>
      </c>
      <c r="I524" s="108">
        <f t="shared" si="36"/>
        <v>51276.42</v>
      </c>
      <c r="J524" s="108">
        <f t="shared" si="36"/>
        <v>22332.39</v>
      </c>
      <c r="K524" s="108">
        <f t="shared" si="36"/>
        <v>6235.1900000000005</v>
      </c>
      <c r="L524" s="89">
        <f t="shared" si="36"/>
        <v>3114543.56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822961.64+264951.15+26495+522896.75</f>
        <v>1637304.54</v>
      </c>
      <c r="G526" s="18">
        <f>F526*0.09</f>
        <v>147357.4086</v>
      </c>
      <c r="H526" s="18">
        <f>2312.07+96461.13</f>
        <v>98773.200000000012</v>
      </c>
      <c r="I526" s="18"/>
      <c r="J526" s="18"/>
      <c r="K526" s="18"/>
      <c r="L526" s="88">
        <f>SUM(F526:K526)</f>
        <v>1883435.1486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331725+348597.84-299653.26</f>
        <v>380669.58000000007</v>
      </c>
      <c r="G528" s="18">
        <f>F528*0.09</f>
        <v>34260.262200000005</v>
      </c>
      <c r="H528" s="18">
        <f>137801.62-96461.13</f>
        <v>41340.489999999991</v>
      </c>
      <c r="I528" s="18"/>
      <c r="J528" s="18"/>
      <c r="K528" s="18"/>
      <c r="L528" s="88">
        <f>SUM(F528:K528)</f>
        <v>456270.33220000006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2017974.12</v>
      </c>
      <c r="G529" s="89">
        <f t="shared" ref="G529:L529" si="37">SUM(G526:G528)</f>
        <v>181617.67079999999</v>
      </c>
      <c r="H529" s="89">
        <f t="shared" si="37"/>
        <v>140113.69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2339705.4808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157705.12*0.7</f>
        <v>110393.58399999999</v>
      </c>
      <c r="G531" s="18">
        <f>F531*0.156</f>
        <v>17221.399103999996</v>
      </c>
      <c r="H531" s="18">
        <v>24777.200000000001</v>
      </c>
      <c r="I531" s="18"/>
      <c r="J531" s="18"/>
      <c r="K531" s="18">
        <v>4292.2299999999996</v>
      </c>
      <c r="L531" s="88">
        <f>SUM(F531:K531)</f>
        <v>156684.41310400001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156705.12-110393.58</f>
        <v>46311.539999999994</v>
      </c>
      <c r="G533" s="18">
        <f>F533*0.156</f>
        <v>7224.6002399999988</v>
      </c>
      <c r="H533" s="18">
        <v>3215</v>
      </c>
      <c r="I533" s="18"/>
      <c r="J533" s="18"/>
      <c r="K533" s="18"/>
      <c r="L533" s="88">
        <f>SUM(F533:K533)</f>
        <v>56751.140239999993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156705.12399999998</v>
      </c>
      <c r="G534" s="89">
        <f t="shared" ref="G534:L534" si="38">SUM(G531:G533)</f>
        <v>24445.999343999996</v>
      </c>
      <c r="H534" s="89">
        <f t="shared" si="38"/>
        <v>27992.2</v>
      </c>
      <c r="I534" s="89">
        <f t="shared" si="38"/>
        <v>0</v>
      </c>
      <c r="J534" s="89">
        <f t="shared" si="38"/>
        <v>0</v>
      </c>
      <c r="K534" s="89">
        <f t="shared" si="38"/>
        <v>4292.2299999999996</v>
      </c>
      <c r="L534" s="89">
        <f t="shared" si="38"/>
        <v>213435.55334400001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2735.46</v>
      </c>
      <c r="I536" s="18"/>
      <c r="J536" s="18"/>
      <c r="K536" s="18"/>
      <c r="L536" s="88">
        <f>SUM(F536:K536)</f>
        <v>2735.46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2735.46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2735.46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f>94954.22+8312</f>
        <v>103266.22</v>
      </c>
      <c r="G541" s="18">
        <f>F541*0.156</f>
        <v>16109.53032</v>
      </c>
      <c r="H541" s="18">
        <f>26098.23+20820.04</f>
        <v>46918.270000000004</v>
      </c>
      <c r="I541" s="18">
        <v>13018.59</v>
      </c>
      <c r="J541" s="18"/>
      <c r="K541" s="18"/>
      <c r="L541" s="88">
        <f>SUM(F541:K541)</f>
        <v>179312.61032000001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f>10411.97+4523.25</f>
        <v>14935.22</v>
      </c>
      <c r="G543" s="18">
        <f>F543*0.156</f>
        <v>2329.8943199999999</v>
      </c>
      <c r="H543" s="18">
        <f>35751</f>
        <v>35751</v>
      </c>
      <c r="I543" s="18">
        <f>17833.69-13018.59</f>
        <v>4815.0999999999985</v>
      </c>
      <c r="J543" s="18"/>
      <c r="K543" s="18"/>
      <c r="L543" s="88">
        <f>SUM(F543:K543)</f>
        <v>57831.214319999999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118201.44</v>
      </c>
      <c r="G544" s="193">
        <f t="shared" ref="G544:L544" si="40">SUM(G541:G543)</f>
        <v>18439.424640000001</v>
      </c>
      <c r="H544" s="193">
        <f t="shared" si="40"/>
        <v>82669.27</v>
      </c>
      <c r="I544" s="193">
        <f t="shared" si="40"/>
        <v>17833.689999999999</v>
      </c>
      <c r="J544" s="193">
        <f t="shared" si="40"/>
        <v>0</v>
      </c>
      <c r="K544" s="193">
        <f t="shared" si="40"/>
        <v>0</v>
      </c>
      <c r="L544" s="193">
        <f t="shared" si="40"/>
        <v>237143.82464000001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3850690.3840000001</v>
      </c>
      <c r="G545" s="89">
        <f t="shared" ref="G545:L545" si="41">G524+G529+G534+G539+G544</f>
        <v>997251.04478399991</v>
      </c>
      <c r="H545" s="89">
        <f t="shared" si="41"/>
        <v>957652.5299999998</v>
      </c>
      <c r="I545" s="89">
        <f t="shared" si="41"/>
        <v>69110.11</v>
      </c>
      <c r="J545" s="89">
        <f t="shared" si="41"/>
        <v>22332.39</v>
      </c>
      <c r="K545" s="89">
        <f t="shared" si="41"/>
        <v>10527.42</v>
      </c>
      <c r="L545" s="89">
        <f t="shared" si="41"/>
        <v>5907563.8787839999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2208384.6800000002</v>
      </c>
      <c r="G549" s="87">
        <f>L526</f>
        <v>1883435.1486</v>
      </c>
      <c r="H549" s="87">
        <f>L531</f>
        <v>156684.41310400001</v>
      </c>
      <c r="I549" s="87">
        <f>L536</f>
        <v>2735.46</v>
      </c>
      <c r="J549" s="87">
        <f>L541</f>
        <v>179312.61032000001</v>
      </c>
      <c r="K549" s="87">
        <f>SUM(F549:J549)</f>
        <v>4430552.3120240001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906158.87999999989</v>
      </c>
      <c r="G551" s="87">
        <f>L528</f>
        <v>456270.33220000006</v>
      </c>
      <c r="H551" s="87">
        <f>L533</f>
        <v>56751.140239999993</v>
      </c>
      <c r="I551" s="87">
        <f>L538</f>
        <v>0</v>
      </c>
      <c r="J551" s="87">
        <f>L543</f>
        <v>57831.214319999999</v>
      </c>
      <c r="K551" s="87">
        <f>SUM(F551:J551)</f>
        <v>1477011.5667600001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3114543.56</v>
      </c>
      <c r="G552" s="89">
        <f t="shared" si="42"/>
        <v>2339705.4808</v>
      </c>
      <c r="H552" s="89">
        <f t="shared" si="42"/>
        <v>213435.55334400001</v>
      </c>
      <c r="I552" s="89">
        <f t="shared" si="42"/>
        <v>2735.46</v>
      </c>
      <c r="J552" s="89">
        <f t="shared" si="42"/>
        <v>237143.82464000001</v>
      </c>
      <c r="K552" s="89">
        <f t="shared" si="42"/>
        <v>5907563.8787839999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30440.4+14058+6825</f>
        <v>51323.4</v>
      </c>
      <c r="G579" s="18"/>
      <c r="H579" s="18"/>
      <c r="I579" s="87">
        <f t="shared" si="47"/>
        <v>51323.4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14400</v>
      </c>
      <c r="G580" s="18"/>
      <c r="H580" s="18"/>
      <c r="I580" s="87">
        <f t="shared" si="47"/>
        <v>14400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316529.05-51323.4-14400</f>
        <v>250805.64999999997</v>
      </c>
      <c r="G582" s="18"/>
      <c r="H582" s="18">
        <v>386212.86</v>
      </c>
      <c r="I582" s="87">
        <f t="shared" si="47"/>
        <v>637018.51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13376.88</v>
      </c>
      <c r="I584" s="87">
        <f t="shared" si="47"/>
        <v>13376.88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209296</v>
      </c>
      <c r="I585" s="87">
        <f t="shared" si="47"/>
        <v>209296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169366.45+31244.37+9399.46+195831.31+34095.27+64093.26-4302.81</f>
        <v>499727.31</v>
      </c>
      <c r="I591" s="18"/>
      <c r="J591" s="18">
        <f>117413.66+20829.58+6266.31+130554.2+22730.18+7524.73+5016.49+42728.84-705.63</f>
        <v>352358.36</v>
      </c>
      <c r="K591" s="104">
        <f t="shared" ref="K591:K597" si="48">SUM(H591:J591)</f>
        <v>852085.66999999993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8312+84542.25+59679.85+10390.58+13957.8+2430.13+705.62</f>
        <v>180018.22999999998</v>
      </c>
      <c r="I592" s="18"/>
      <c r="J592" s="18">
        <f>10411.97+39786.57+6927.05</f>
        <v>57125.590000000004</v>
      </c>
      <c r="K592" s="104">
        <f t="shared" si="48"/>
        <v>237143.81999999998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21619.27+2532.42+9305.2+1620.08+4302.81</f>
        <v>39379.78</v>
      </c>
      <c r="K593" s="104">
        <f t="shared" si="48"/>
        <v>39379.78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f>9470.17+2670.85</f>
        <v>12141.02</v>
      </c>
      <c r="I594" s="18"/>
      <c r="J594" s="18">
        <f>17073.92+1780.57+10226.95+15340.42</f>
        <v>44421.86</v>
      </c>
      <c r="K594" s="104">
        <f t="shared" si="48"/>
        <v>56562.880000000005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10300.32+1310.1</f>
        <v>11610.42</v>
      </c>
      <c r="I595" s="18"/>
      <c r="J595" s="18">
        <f>2720+873.4</f>
        <v>3593.4</v>
      </c>
      <c r="K595" s="104">
        <f t="shared" si="48"/>
        <v>15203.82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703496.9800000001</v>
      </c>
      <c r="I598" s="108">
        <f>SUM(I591:I597)</f>
        <v>0</v>
      </c>
      <c r="J598" s="108">
        <f>SUM(J591:J597)</f>
        <v>496878.99</v>
      </c>
      <c r="K598" s="108">
        <f>SUM(K591:K597)</f>
        <v>1200375.97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202375.17+26297.54</f>
        <v>228672.71000000002</v>
      </c>
      <c r="I604" s="18"/>
      <c r="J604" s="18">
        <f>184806.53+3722.55</f>
        <v>188529.08</v>
      </c>
      <c r="K604" s="104">
        <f>SUM(H604:J604)</f>
        <v>417201.79000000004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228672.71000000002</v>
      </c>
      <c r="I605" s="108">
        <f>SUM(I602:I604)</f>
        <v>0</v>
      </c>
      <c r="J605" s="108">
        <f>SUM(J602:J604)</f>
        <v>188529.08</v>
      </c>
      <c r="K605" s="108">
        <f>SUM(K602:K604)</f>
        <v>417201.79000000004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2299052.7999999998</v>
      </c>
      <c r="H617" s="109">
        <f>SUM(F52)</f>
        <v>2299052.8000000003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115100.9</v>
      </c>
      <c r="H619" s="109">
        <f>SUM(H52)</f>
        <v>115100.9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2471528.9500000002</v>
      </c>
      <c r="H621" s="109">
        <f>SUM(J52)</f>
        <v>2471528.9500000002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37563.199999999997</v>
      </c>
      <c r="H622" s="109">
        <f>F476</f>
        <v>37563.199999999255</v>
      </c>
      <c r="I622" s="121" t="s">
        <v>101</v>
      </c>
      <c r="J622" s="109">
        <f t="shared" ref="J622:J655" si="50">G622-H622</f>
        <v>7.4214767664670944E-10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115100.9</v>
      </c>
      <c r="H624" s="109">
        <f>H476</f>
        <v>115100.89999999991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2471528.9500000002</v>
      </c>
      <c r="H626" s="109">
        <f>J476</f>
        <v>2471528.9500000002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26806441.710000001</v>
      </c>
      <c r="H627" s="104">
        <f>SUM(F468)</f>
        <v>26806441.710000001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863535.05999999994</v>
      </c>
      <c r="H628" s="104">
        <f>SUM(G468)</f>
        <v>863535.06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1324229.24</v>
      </c>
      <c r="H629" s="104">
        <f>SUM(H468)</f>
        <v>1324229.24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518088.75</v>
      </c>
      <c r="H631" s="104">
        <f>SUM(J468)</f>
        <v>518088.75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27532393.159999996</v>
      </c>
      <c r="H632" s="104">
        <f>SUM(F472)</f>
        <v>27532393.16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1271421.8700000001</v>
      </c>
      <c r="H633" s="104">
        <f>SUM(H472)</f>
        <v>1271421.8700000001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340861.97</v>
      </c>
      <c r="H634" s="104">
        <f>I369</f>
        <v>340861.97000000003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863535.06</v>
      </c>
      <c r="H635" s="104">
        <f>SUM(G472)</f>
        <v>863535.06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518088.75</v>
      </c>
      <c r="H637" s="164">
        <f>SUM(J468)</f>
        <v>518088.75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691000</v>
      </c>
      <c r="H638" s="164">
        <f>SUM(J472)</f>
        <v>691000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1482401.15</v>
      </c>
      <c r="H639" s="104">
        <f>SUM(F461)</f>
        <v>1482401.15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989127.8</v>
      </c>
      <c r="H640" s="104">
        <f>SUM(G461)</f>
        <v>989127.8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2471528.9500000002</v>
      </c>
      <c r="H642" s="104">
        <f>SUM(I461)</f>
        <v>2471528.9500000002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18088.75</v>
      </c>
      <c r="H644" s="104">
        <f>H408</f>
        <v>18088.75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500000</v>
      </c>
      <c r="H645" s="104">
        <f>G408</f>
        <v>500000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518088.75</v>
      </c>
      <c r="H646" s="104">
        <f>L408</f>
        <v>518088.75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1200375.97</v>
      </c>
      <c r="H647" s="104">
        <f>L208+L226+L244</f>
        <v>1200375.97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417201.79000000004</v>
      </c>
      <c r="H648" s="104">
        <f>(J257+J338)-(J255+J336)</f>
        <v>417201.79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703496.98</v>
      </c>
      <c r="H649" s="104">
        <f>H598</f>
        <v>703496.9800000001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496878.99</v>
      </c>
      <c r="H651" s="104">
        <f>J598</f>
        <v>496878.99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256464.48</v>
      </c>
      <c r="H652" s="104">
        <f>K263+K345</f>
        <v>256464.47999999998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500000</v>
      </c>
      <c r="H655" s="104">
        <f>K266+K347</f>
        <v>500000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17766661.579999998</v>
      </c>
      <c r="G660" s="19">
        <f>(L229+L309+L359)</f>
        <v>0</v>
      </c>
      <c r="H660" s="19">
        <f>(L247+L328+L360)</f>
        <v>9611960.290000001</v>
      </c>
      <c r="I660" s="19">
        <f>SUM(F660:H660)</f>
        <v>27378621.869999997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165934.40323968502</v>
      </c>
      <c r="G661" s="19">
        <f>(L359/IF(SUM(L358:L360)=0,1,SUM(L358:L360))*(SUM(G97:G110)))</f>
        <v>0</v>
      </c>
      <c r="H661" s="19">
        <f>(L360/IF(SUM(L358:L360)=0,1,SUM(L358:L360))*(SUM(G97:G110)))</f>
        <v>93999.276760314984</v>
      </c>
      <c r="I661" s="19">
        <f>SUM(F661:H661)</f>
        <v>259933.68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708733.35</v>
      </c>
      <c r="G662" s="19">
        <f>(L226+L306)-(J226+J306)</f>
        <v>0</v>
      </c>
      <c r="H662" s="19">
        <f>(L244+L325)-(J244+J325)</f>
        <v>494955.47</v>
      </c>
      <c r="I662" s="19">
        <f>SUM(F662:H662)</f>
        <v>1203688.8199999998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545201.76</v>
      </c>
      <c r="G663" s="199">
        <f>SUM(G575:G587)+SUM(I602:I604)+L612</f>
        <v>0</v>
      </c>
      <c r="H663" s="199">
        <f>SUM(H575:H587)+SUM(J602:J604)+L613</f>
        <v>797414.82</v>
      </c>
      <c r="I663" s="19">
        <f>SUM(F663:H663)</f>
        <v>1342616.58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16346792.066760313</v>
      </c>
      <c r="G664" s="19">
        <f>G660-SUM(G661:G663)</f>
        <v>0</v>
      </c>
      <c r="H664" s="19">
        <f>H660-SUM(H661:H663)</f>
        <v>8225590.7232396863</v>
      </c>
      <c r="I664" s="19">
        <f>I660-SUM(I661:I663)</f>
        <v>24572382.789999999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1006.61</v>
      </c>
      <c r="G665" s="248"/>
      <c r="H665" s="248">
        <v>512.98</v>
      </c>
      <c r="I665" s="19">
        <f>SUM(F665:H665)</f>
        <v>1519.5900000000001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16239.45</v>
      </c>
      <c r="G667" s="19" t="e">
        <f>ROUND(G664/G665,2)</f>
        <v>#DIV/0!</v>
      </c>
      <c r="H667" s="19">
        <f>ROUND(H664/H665,2)</f>
        <v>16034.92</v>
      </c>
      <c r="I667" s="19">
        <f>ROUND(I664/I665,2)</f>
        <v>16170.4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-14.78</v>
      </c>
      <c r="I670" s="19">
        <f>SUM(F670:H670)</f>
        <v>-14.78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16239.45</v>
      </c>
      <c r="G672" s="19" t="e">
        <f>ROUND((G664+G669)/(G665+G670),2)</f>
        <v>#DIV/0!</v>
      </c>
      <c r="H672" s="19">
        <f>ROUND((H664+H669)/(H665+H670),2)</f>
        <v>16510.62</v>
      </c>
      <c r="I672" s="19">
        <f>ROUND((I664+I669)/(I665+I670),2)</f>
        <v>16329.23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sqref="A1:C5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Fall Mtn Regional School District - SAU60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6406244.0799999991</v>
      </c>
      <c r="C9" s="229">
        <f>'DOE25'!G197+'DOE25'!G215+'DOE25'!G233+'DOE25'!G276+'DOE25'!G295+'DOE25'!G314</f>
        <v>3028189.4</v>
      </c>
    </row>
    <row r="10" spans="1:3" x14ac:dyDescent="0.2">
      <c r="A10" t="s">
        <v>779</v>
      </c>
      <c r="B10" s="240">
        <v>6229618.0099999998</v>
      </c>
      <c r="C10" s="240">
        <v>2978651.73</v>
      </c>
    </row>
    <row r="11" spans="1:3" x14ac:dyDescent="0.2">
      <c r="A11" t="s">
        <v>780</v>
      </c>
      <c r="B11" s="240">
        <f>140468.63+11242.56</f>
        <v>151711.19</v>
      </c>
      <c r="C11" s="240">
        <f>23666.95+21984</f>
        <v>45650.95</v>
      </c>
    </row>
    <row r="12" spans="1:3" x14ac:dyDescent="0.2">
      <c r="A12" t="s">
        <v>781</v>
      </c>
      <c r="B12" s="240">
        <v>24914.880000000001</v>
      </c>
      <c r="C12" s="240">
        <v>3886.72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6406244.0800000001</v>
      </c>
      <c r="C13" s="231">
        <f>SUM(C10:C12)</f>
        <v>3028189.4000000004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3557625.67</v>
      </c>
      <c r="C18" s="229">
        <f>'DOE25'!G198+'DOE25'!G216+'DOE25'!G234+'DOE25'!G277+'DOE25'!G296+'DOE25'!G315</f>
        <v>1149329.73</v>
      </c>
    </row>
    <row r="19" spans="1:3" x14ac:dyDescent="0.2">
      <c r="A19" t="s">
        <v>779</v>
      </c>
      <c r="B19" s="240">
        <v>1345802.35</v>
      </c>
      <c r="C19" s="240">
        <f>633928.56+38915.65</f>
        <v>672844.21000000008</v>
      </c>
    </row>
    <row r="20" spans="1:3" x14ac:dyDescent="0.2">
      <c r="A20" t="s">
        <v>780</v>
      </c>
      <c r="B20" s="240">
        <f>1512864.49+36949.37</f>
        <v>1549813.86</v>
      </c>
      <c r="C20" s="240">
        <f>162867.96+20000</f>
        <v>182867.96</v>
      </c>
    </row>
    <row r="21" spans="1:3" x14ac:dyDescent="0.2">
      <c r="A21" t="s">
        <v>781</v>
      </c>
      <c r="B21" s="240">
        <f>620126.35+78832.11-36949</f>
        <v>662009.46</v>
      </c>
      <c r="C21" s="240">
        <v>293617.56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3557625.67</v>
      </c>
      <c r="C22" s="231">
        <f>SUM(C19:C21)</f>
        <v>1149329.73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402052</v>
      </c>
      <c r="C27" s="234">
        <f>'DOE25'!G199+'DOE25'!G217+'DOE25'!G235+'DOE25'!G278+'DOE25'!G297+'DOE25'!G316</f>
        <v>165655.29</v>
      </c>
    </row>
    <row r="28" spans="1:3" x14ac:dyDescent="0.2">
      <c r="A28" t="s">
        <v>779</v>
      </c>
      <c r="B28" s="240">
        <v>402052</v>
      </c>
      <c r="C28" s="240">
        <v>165655.29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402052</v>
      </c>
      <c r="C31" s="231">
        <f>SUM(C28:C30)</f>
        <v>165655.29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284283.68</v>
      </c>
      <c r="C36" s="235">
        <f>'DOE25'!G200+'DOE25'!G218+'DOE25'!G236+'DOE25'!G279+'DOE25'!G298+'DOE25'!G317</f>
        <v>63327.9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284283.68</v>
      </c>
      <c r="C39" s="240">
        <v>63327.9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284283.68</v>
      </c>
      <c r="C40" s="231">
        <f>SUM(C37:C39)</f>
        <v>63327.9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Fall Mtn Regional School District - SAU60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16693767.779999999</v>
      </c>
      <c r="D5" s="20">
        <f>SUM('DOE25'!L197:L200)+SUM('DOE25'!L215:L218)+SUM('DOE25'!L233:L236)-F5-G5</f>
        <v>16353902.039999999</v>
      </c>
      <c r="E5" s="243"/>
      <c r="F5" s="255">
        <f>SUM('DOE25'!J197:J200)+SUM('DOE25'!J215:J218)+SUM('DOE25'!J233:J236)</f>
        <v>313112.64</v>
      </c>
      <c r="G5" s="53">
        <f>SUM('DOE25'!K197:K200)+SUM('DOE25'!K215:K218)+SUM('DOE25'!K233:K236)</f>
        <v>26753.1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1296190.81</v>
      </c>
      <c r="D6" s="20">
        <f>'DOE25'!L202+'DOE25'!L220+'DOE25'!L238-F6-G6</f>
        <v>1289264.8700000001</v>
      </c>
      <c r="E6" s="243"/>
      <c r="F6" s="255">
        <f>'DOE25'!J202+'DOE25'!J220+'DOE25'!J238</f>
        <v>6338.9400000000005</v>
      </c>
      <c r="G6" s="53">
        <f>'DOE25'!K202+'DOE25'!K220+'DOE25'!K238</f>
        <v>587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1080269.58</v>
      </c>
      <c r="D7" s="20">
        <f>'DOE25'!L203+'DOE25'!L221+'DOE25'!L239-F7-G7</f>
        <v>1071518.6300000001</v>
      </c>
      <c r="E7" s="243"/>
      <c r="F7" s="255">
        <f>'DOE25'!J203+'DOE25'!J221+'DOE25'!J239</f>
        <v>1112.07</v>
      </c>
      <c r="G7" s="53">
        <f>'DOE25'!K203+'DOE25'!K221+'DOE25'!K239</f>
        <v>7638.88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15255.879999999952</v>
      </c>
      <c r="D8" s="243"/>
      <c r="E8" s="20">
        <f>'DOE25'!L204+'DOE25'!L222+'DOE25'!L240-F8-G8-D9-D11</f>
        <v>3106.0099999999511</v>
      </c>
      <c r="F8" s="255">
        <f>'DOE25'!J204+'DOE25'!J222+'DOE25'!J240</f>
        <v>3177.34</v>
      </c>
      <c r="G8" s="53">
        <f>'DOE25'!K204+'DOE25'!K222+'DOE25'!K240</f>
        <v>8972.5300000000007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151598.60999999999</v>
      </c>
      <c r="D9" s="244">
        <v>151598.60999999999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21476.880000000001</v>
      </c>
      <c r="D10" s="243"/>
      <c r="E10" s="244">
        <v>21476.880000000001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297364.82</v>
      </c>
      <c r="D11" s="244">
        <v>297364.82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1458243.2799999998</v>
      </c>
      <c r="D12" s="20">
        <f>'DOE25'!L205+'DOE25'!L223+'DOE25'!L241-F12-G12</f>
        <v>1443729.8399999999</v>
      </c>
      <c r="E12" s="243"/>
      <c r="F12" s="255">
        <f>'DOE25'!J205+'DOE25'!J223+'DOE25'!J241</f>
        <v>6898.49</v>
      </c>
      <c r="G12" s="53">
        <f>'DOE25'!K205+'DOE25'!K223+'DOE25'!K241</f>
        <v>7614.95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314121.32</v>
      </c>
      <c r="D13" s="243"/>
      <c r="E13" s="20">
        <f>'DOE25'!L206+'DOE25'!L224+'DOE25'!L242-F13-G13</f>
        <v>311043.09999999998</v>
      </c>
      <c r="F13" s="255">
        <f>'DOE25'!J206+'DOE25'!J224+'DOE25'!J242</f>
        <v>1529.33</v>
      </c>
      <c r="G13" s="53">
        <f>'DOE25'!K206+'DOE25'!K224+'DOE25'!K242</f>
        <v>1548.8899999999999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2939024.25</v>
      </c>
      <c r="D14" s="20">
        <f>'DOE25'!L207+'DOE25'!L225+'DOE25'!L243-F14-G14</f>
        <v>2888380.38</v>
      </c>
      <c r="E14" s="243"/>
      <c r="F14" s="255">
        <f>'DOE25'!J207+'DOE25'!J225+'DOE25'!J243</f>
        <v>50204.1</v>
      </c>
      <c r="G14" s="53">
        <f>'DOE25'!K207+'DOE25'!K225+'DOE25'!K243</f>
        <v>439.77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1200375.97</v>
      </c>
      <c r="D15" s="20">
        <f>'DOE25'!L208+'DOE25'!L226+'DOE25'!L244-F15-G15</f>
        <v>1195567.18</v>
      </c>
      <c r="E15" s="243"/>
      <c r="F15" s="255">
        <f>'DOE25'!J208+'DOE25'!J226+'DOE25'!J244</f>
        <v>4808.79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753026.82</v>
      </c>
      <c r="D22" s="243"/>
      <c r="E22" s="243"/>
      <c r="F22" s="255">
        <f>'DOE25'!L255+'DOE25'!L336</f>
        <v>753026.82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779236.92</v>
      </c>
      <c r="D25" s="243"/>
      <c r="E25" s="243"/>
      <c r="F25" s="258"/>
      <c r="G25" s="256"/>
      <c r="H25" s="257">
        <f>'DOE25'!L260+'DOE25'!L261+'DOE25'!L341+'DOE25'!L342</f>
        <v>779236.92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549407.48</v>
      </c>
      <c r="D29" s="20">
        <f>'DOE25'!L358+'DOE25'!L359+'DOE25'!L360-'DOE25'!I367-F29-G29</f>
        <v>505427.88</v>
      </c>
      <c r="E29" s="243"/>
      <c r="F29" s="255">
        <f>'DOE25'!J358+'DOE25'!J359+'DOE25'!J360</f>
        <v>43979.6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1068874.5100000002</v>
      </c>
      <c r="D31" s="20">
        <f>'DOE25'!L290+'DOE25'!L309+'DOE25'!L328+'DOE25'!L333+'DOE25'!L334+'DOE25'!L335-F31-G31</f>
        <v>1025878.3300000001</v>
      </c>
      <c r="E31" s="243"/>
      <c r="F31" s="255">
        <f>'DOE25'!J290+'DOE25'!J309+'DOE25'!J328+'DOE25'!J333+'DOE25'!J334+'DOE25'!J335</f>
        <v>30020.09</v>
      </c>
      <c r="G31" s="53">
        <f>'DOE25'!K290+'DOE25'!K309+'DOE25'!K328+'DOE25'!K333+'DOE25'!K334+'DOE25'!K335</f>
        <v>12976.09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26222632.579999998</v>
      </c>
      <c r="E33" s="246">
        <f>SUM(E5:E31)</f>
        <v>335625.98999999993</v>
      </c>
      <c r="F33" s="246">
        <f>SUM(F5:F31)</f>
        <v>1214208.2100000002</v>
      </c>
      <c r="G33" s="246">
        <f>SUM(G5:G31)</f>
        <v>66531.209999999992</v>
      </c>
      <c r="H33" s="246">
        <f>SUM(H5:H31)</f>
        <v>779236.92</v>
      </c>
    </row>
    <row r="35" spans="2:8" ht="12" thickBot="1" x14ac:dyDescent="0.25">
      <c r="B35" s="253" t="s">
        <v>847</v>
      </c>
      <c r="D35" s="254">
        <f>E33</f>
        <v>335625.98999999993</v>
      </c>
      <c r="E35" s="249"/>
    </row>
    <row r="36" spans="2:8" ht="12" thickTop="1" x14ac:dyDescent="0.2">
      <c r="B36" t="s">
        <v>815</v>
      </c>
      <c r="D36" s="20">
        <f>D33</f>
        <v>26222632.579999998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Fall Mtn Regional School District - SAU60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1109437.8999999999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2471528.9500000002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289636.61</v>
      </c>
      <c r="D11" s="95">
        <f>'DOE25'!G12</f>
        <v>-22326.98</v>
      </c>
      <c r="E11" s="95">
        <f>'DOE25'!H12</f>
        <v>-267309.64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558280.82999999996</v>
      </c>
      <c r="D12" s="95">
        <f>'DOE25'!G13</f>
        <v>22326.98</v>
      </c>
      <c r="E12" s="95">
        <f>'DOE25'!H13</f>
        <v>207410.53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47.17</v>
      </c>
      <c r="D13" s="95">
        <f>'DOE25'!G14</f>
        <v>0</v>
      </c>
      <c r="E13" s="95">
        <f>'DOE25'!H14</f>
        <v>175000.01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341650.29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2299052.7999999998</v>
      </c>
      <c r="D18" s="41">
        <f>SUM(D8:D17)</f>
        <v>0</v>
      </c>
      <c r="E18" s="41">
        <f>SUM(E8:E17)</f>
        <v>115100.9</v>
      </c>
      <c r="F18" s="41">
        <f>SUM(F8:F17)</f>
        <v>0</v>
      </c>
      <c r="G18" s="41">
        <f>SUM(G8:G17)</f>
        <v>2471528.9500000002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349989.71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1905912.76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5587.13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2261489.6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37563.199999999997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115100.9</v>
      </c>
      <c r="F47" s="95">
        <f>'DOE25'!I48</f>
        <v>0</v>
      </c>
      <c r="G47" s="95">
        <f>'DOE25'!J48</f>
        <v>2471528.9500000002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37563.199999999997</v>
      </c>
      <c r="D50" s="41">
        <f>SUM(D34:D49)</f>
        <v>0</v>
      </c>
      <c r="E50" s="41">
        <f>SUM(E34:E49)</f>
        <v>115100.9</v>
      </c>
      <c r="F50" s="41">
        <f>SUM(F34:F49)</f>
        <v>0</v>
      </c>
      <c r="G50" s="41">
        <f>SUM(G34:G49)</f>
        <v>2471528.9500000002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2299052.8000000003</v>
      </c>
      <c r="D51" s="41">
        <f>D50+D31</f>
        <v>0</v>
      </c>
      <c r="E51" s="41">
        <f>E50+E31</f>
        <v>115100.9</v>
      </c>
      <c r="F51" s="41">
        <f>F50+F31</f>
        <v>0</v>
      </c>
      <c r="G51" s="41">
        <f>G50+G31</f>
        <v>2471528.9500000002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14073875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299164.43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30657.279999999999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18088.75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259933.68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69563.97</v>
      </c>
      <c r="D61" s="95">
        <f>SUM('DOE25'!G98:G110)</f>
        <v>0</v>
      </c>
      <c r="E61" s="95">
        <f>SUM('DOE25'!H98:H110)</f>
        <v>18411.71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399385.67999999993</v>
      </c>
      <c r="D62" s="130">
        <f>SUM(D57:D61)</f>
        <v>259933.68</v>
      </c>
      <c r="E62" s="130">
        <f>SUM(E57:E61)</f>
        <v>18411.71</v>
      </c>
      <c r="F62" s="130">
        <f>SUM(F57:F61)</f>
        <v>0</v>
      </c>
      <c r="G62" s="130">
        <f>SUM(G57:G61)</f>
        <v>18088.75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14473260.68</v>
      </c>
      <c r="D63" s="22">
        <f>D56+D62</f>
        <v>259933.68</v>
      </c>
      <c r="E63" s="22">
        <f>E56+E62</f>
        <v>18411.71</v>
      </c>
      <c r="F63" s="22">
        <f>F56+F62</f>
        <v>0</v>
      </c>
      <c r="G63" s="22">
        <f>G56+G62</f>
        <v>18088.75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7972378.7400000002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2450792.9900000002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10423171.73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560387.86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184335.42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187433.36000000002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8452.2899999999991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932156.64</v>
      </c>
      <c r="D78" s="130">
        <f>SUM(D72:D77)</f>
        <v>8452.2899999999991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11355328.370000001</v>
      </c>
      <c r="D81" s="130">
        <f>SUM(D79:D80)+D78+D70</f>
        <v>8452.2899999999991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286852.65999999997</v>
      </c>
      <c r="D88" s="95">
        <f>SUM('DOE25'!G153:G161)</f>
        <v>338684.61</v>
      </c>
      <c r="E88" s="95">
        <f>SUM('DOE25'!H153:H161)</f>
        <v>1305817.53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286852.65999999997</v>
      </c>
      <c r="D91" s="131">
        <f>SUM(D85:D90)</f>
        <v>338684.61</v>
      </c>
      <c r="E91" s="131">
        <f>SUM(E85:E90)</f>
        <v>1305817.53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256464.48</v>
      </c>
      <c r="E96" s="95">
        <f>'DOE25'!H179</f>
        <v>0</v>
      </c>
      <c r="F96" s="95">
        <f>'DOE25'!I179</f>
        <v>0</v>
      </c>
      <c r="G96" s="95">
        <f>'DOE25'!J179</f>
        <v>500000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691000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691000</v>
      </c>
      <c r="D103" s="86">
        <f>SUM(D93:D102)</f>
        <v>256464.48</v>
      </c>
      <c r="E103" s="86">
        <f>SUM(E93:E102)</f>
        <v>0</v>
      </c>
      <c r="F103" s="86">
        <f>SUM(F93:F102)</f>
        <v>0</v>
      </c>
      <c r="G103" s="86">
        <f>SUM(G93:G102)</f>
        <v>500000</v>
      </c>
    </row>
    <row r="104" spans="1:7" ht="12.75" thickTop="1" thickBot="1" x14ac:dyDescent="0.25">
      <c r="A104" s="33" t="s">
        <v>765</v>
      </c>
      <c r="C104" s="86">
        <f>C63+C81+C91+C103</f>
        <v>26806441.710000001</v>
      </c>
      <c r="D104" s="86">
        <f>D63+D81+D91+D103</f>
        <v>863535.05999999994</v>
      </c>
      <c r="E104" s="86">
        <f>E63+E81+E91+E103</f>
        <v>1324229.24</v>
      </c>
      <c r="F104" s="86">
        <f>F63+F81+F91+F103</f>
        <v>0</v>
      </c>
      <c r="G104" s="86">
        <f>G63+G81+G103</f>
        <v>518088.75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9723215.629999999</v>
      </c>
      <c r="D109" s="24" t="s">
        <v>289</v>
      </c>
      <c r="E109" s="95">
        <f>('DOE25'!L276)+('DOE25'!L295)+('DOE25'!L314)</f>
        <v>394239.64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5645955.7400000002</v>
      </c>
      <c r="D110" s="24" t="s">
        <v>289</v>
      </c>
      <c r="E110" s="95">
        <f>('DOE25'!L277)+('DOE25'!L296)+('DOE25'!L315)</f>
        <v>19519.349999999999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871543.41</v>
      </c>
      <c r="D111" s="24" t="s">
        <v>289</v>
      </c>
      <c r="E111" s="95">
        <f>('DOE25'!L278)+('DOE25'!L297)+('DOE25'!L316)</f>
        <v>6932.15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453053</v>
      </c>
      <c r="D112" s="24" t="s">
        <v>289</v>
      </c>
      <c r="E112" s="95">
        <f>+('DOE25'!L279)+('DOE25'!L298)+('DOE25'!L317)</f>
        <v>12328.11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16693767.779999999</v>
      </c>
      <c r="D115" s="86">
        <f>SUM(D109:D114)</f>
        <v>0</v>
      </c>
      <c r="E115" s="86">
        <f>SUM(E109:E114)</f>
        <v>433019.25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1296190.81</v>
      </c>
      <c r="D118" s="24" t="s">
        <v>289</v>
      </c>
      <c r="E118" s="95">
        <f>+('DOE25'!L281)+('DOE25'!L300)+('DOE25'!L319)</f>
        <v>300407.02999999997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1080269.58</v>
      </c>
      <c r="D119" s="24" t="s">
        <v>289</v>
      </c>
      <c r="E119" s="95">
        <f>+('DOE25'!L282)+('DOE25'!L301)+('DOE25'!L320)</f>
        <v>270368.49000000005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464219.31</v>
      </c>
      <c r="D120" s="24" t="s">
        <v>289</v>
      </c>
      <c r="E120" s="95">
        <f>+('DOE25'!L283)+('DOE25'!L302)+('DOE25'!L321)</f>
        <v>42861.139999999992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1458243.2799999998</v>
      </c>
      <c r="D121" s="24" t="s">
        <v>289</v>
      </c>
      <c r="E121" s="95">
        <f>+('DOE25'!L284)+('DOE25'!L303)+('DOE25'!L322)</f>
        <v>2363.88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314121.32</v>
      </c>
      <c r="D122" s="24" t="s">
        <v>289</v>
      </c>
      <c r="E122" s="95">
        <f>+('DOE25'!L285)+('DOE25'!L304)+('DOE25'!L323)</f>
        <v>11733.08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2939024.25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1200375.97</v>
      </c>
      <c r="D124" s="24" t="s">
        <v>289</v>
      </c>
      <c r="E124" s="95">
        <f>+('DOE25'!L287)+('DOE25'!L306)+('DOE25'!L325)</f>
        <v>8121.64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863535.06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8752444.5200000014</v>
      </c>
      <c r="D128" s="86">
        <f>SUM(D118:D127)</f>
        <v>863535.06</v>
      </c>
      <c r="E128" s="86">
        <f>SUM(E118:E127)</f>
        <v>635855.26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550479.46</v>
      </c>
      <c r="D130" s="24" t="s">
        <v>289</v>
      </c>
      <c r="E130" s="129">
        <f>'DOE25'!L336</f>
        <v>202547.36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708490.4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70746.52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691000</v>
      </c>
    </row>
    <row r="135" spans="1:7" x14ac:dyDescent="0.2">
      <c r="A135" t="s">
        <v>233</v>
      </c>
      <c r="B135" s="32" t="s">
        <v>234</v>
      </c>
      <c r="C135" s="95">
        <f>'DOE25'!L263</f>
        <v>256464.47999999998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508635.07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9453.68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-18088.75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2086180.8599999999</v>
      </c>
      <c r="D144" s="141">
        <f>SUM(D130:D143)</f>
        <v>0</v>
      </c>
      <c r="E144" s="141">
        <f>SUM(E130:E143)</f>
        <v>202547.36</v>
      </c>
      <c r="F144" s="141">
        <f>SUM(F130:F143)</f>
        <v>0</v>
      </c>
      <c r="G144" s="141">
        <f>SUM(G130:G143)</f>
        <v>691000</v>
      </c>
    </row>
    <row r="145" spans="1:9" ht="12.75" thickTop="1" thickBot="1" x14ac:dyDescent="0.25">
      <c r="A145" s="33" t="s">
        <v>244</v>
      </c>
      <c r="C145" s="86">
        <f>(C115+C128+C144)</f>
        <v>27532393.16</v>
      </c>
      <c r="D145" s="86">
        <f>(D115+D128+D144)</f>
        <v>863535.06</v>
      </c>
      <c r="E145" s="86">
        <f>(E115+E128+E144)</f>
        <v>1271421.8700000001</v>
      </c>
      <c r="F145" s="86">
        <f>(F115+F128+F144)</f>
        <v>0</v>
      </c>
      <c r="G145" s="86">
        <f>(G115+G128+G144)</f>
        <v>691000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19</v>
      </c>
      <c r="C151" s="153">
        <f>'DOE25'!G490</f>
        <v>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08/05</v>
      </c>
      <c r="C152" s="152" t="str">
        <f>'DOE25'!G491</f>
        <v>09/10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08/24</v>
      </c>
      <c r="C153" s="152" t="str">
        <f>'DOE25'!G492</f>
        <v>09/15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1911965</v>
      </c>
      <c r="C154" s="137">
        <f>'DOE25'!G493</f>
        <v>3042452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0.05</v>
      </c>
      <c r="C155" s="137">
        <f>'DOE25'!G494</f>
        <v>0.02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1100000</v>
      </c>
      <c r="C156" s="137">
        <f>'DOE25'!G495</f>
        <v>1825471.19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2925471.19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100000</v>
      </c>
      <c r="C158" s="137">
        <f>'DOE25'!G497</f>
        <v>608490.4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708490.4</v>
      </c>
    </row>
    <row r="159" spans="1:9" x14ac:dyDescent="0.2">
      <c r="A159" s="22" t="s">
        <v>35</v>
      </c>
      <c r="B159" s="137">
        <f>'DOE25'!F498</f>
        <v>1000000</v>
      </c>
      <c r="C159" s="137">
        <f>'DOE25'!G498</f>
        <v>1216977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2216977</v>
      </c>
    </row>
    <row r="160" spans="1:9" x14ac:dyDescent="0.2">
      <c r="A160" s="22" t="s">
        <v>36</v>
      </c>
      <c r="B160" s="137">
        <f>'DOE25'!F499</f>
        <v>219217.5</v>
      </c>
      <c r="C160" s="137">
        <f>'DOE25'!G499</f>
        <v>16000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235217.5</v>
      </c>
    </row>
    <row r="161" spans="1:7" x14ac:dyDescent="0.2">
      <c r="A161" s="22" t="s">
        <v>37</v>
      </c>
      <c r="B161" s="137">
        <f>'DOE25'!F500</f>
        <v>1219217.5</v>
      </c>
      <c r="C161" s="137">
        <f>'DOE25'!G500</f>
        <v>1232977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2452194.5</v>
      </c>
    </row>
    <row r="162" spans="1:7" x14ac:dyDescent="0.2">
      <c r="A162" s="22" t="s">
        <v>38</v>
      </c>
      <c r="B162" s="137">
        <f>'DOE25'!F501</f>
        <v>100000</v>
      </c>
      <c r="C162" s="137">
        <f>'DOE25'!G501</f>
        <v>608490.4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708490.4</v>
      </c>
    </row>
    <row r="163" spans="1:7" x14ac:dyDescent="0.2">
      <c r="A163" s="22" t="s">
        <v>39</v>
      </c>
      <c r="B163" s="137">
        <f>'DOE25'!F502</f>
        <v>37265</v>
      </c>
      <c r="C163" s="137">
        <f>'DOE25'!G502</f>
        <v>16000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53265</v>
      </c>
    </row>
    <row r="164" spans="1:7" x14ac:dyDescent="0.2">
      <c r="A164" s="22" t="s">
        <v>246</v>
      </c>
      <c r="B164" s="137">
        <f>'DOE25'!F503</f>
        <v>137265</v>
      </c>
      <c r="C164" s="137">
        <f>'DOE25'!G503</f>
        <v>624490.4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761755.4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Fall Mtn Regional School District - SAU60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16239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16511</v>
      </c>
    </row>
    <row r="7" spans="1:4" x14ac:dyDescent="0.2">
      <c r="B7" t="s">
        <v>705</v>
      </c>
      <c r="C7" s="179">
        <f>IF('DOE25'!I665+'DOE25'!I670=0,0,ROUND('DOE25'!I672,0))</f>
        <v>16329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10117455</v>
      </c>
      <c r="D10" s="182">
        <f>ROUND((C10/$C$28)*100,1)</f>
        <v>37.200000000000003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5665475</v>
      </c>
      <c r="D11" s="182">
        <f>ROUND((C11/$C$28)*100,1)</f>
        <v>20.8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878476</v>
      </c>
      <c r="D12" s="182">
        <f>ROUND((C12/$C$28)*100,1)</f>
        <v>3.2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465381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1596598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1350638</v>
      </c>
      <c r="D16" s="182">
        <f t="shared" si="0"/>
        <v>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507080</v>
      </c>
      <c r="D17" s="182">
        <f t="shared" si="0"/>
        <v>1.9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1460607</v>
      </c>
      <c r="D18" s="182">
        <f t="shared" si="0"/>
        <v>5.4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325854</v>
      </c>
      <c r="D19" s="182">
        <f t="shared" si="0"/>
        <v>1.2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2939024</v>
      </c>
      <c r="D20" s="182">
        <f t="shared" si="0"/>
        <v>10.8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1208498</v>
      </c>
      <c r="D21" s="182">
        <f t="shared" si="0"/>
        <v>4.4000000000000004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70747</v>
      </c>
      <c r="D25" s="182">
        <f t="shared" si="0"/>
        <v>0.3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603601.32000000007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27189434.32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753027</v>
      </c>
    </row>
    <row r="30" spans="1:4" x14ac:dyDescent="0.2">
      <c r="B30" s="187" t="s">
        <v>729</v>
      </c>
      <c r="C30" s="180">
        <f>SUM(C28:C29)</f>
        <v>27942461.32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708490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14073875</v>
      </c>
      <c r="D35" s="182">
        <f t="shared" ref="D35:D40" si="1">ROUND((C35/$C$41)*100,1)</f>
        <v>50.6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435886.1400000006</v>
      </c>
      <c r="D36" s="182">
        <f t="shared" si="1"/>
        <v>1.6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10423172</v>
      </c>
      <c r="D37" s="182">
        <f t="shared" si="1"/>
        <v>37.5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940609</v>
      </c>
      <c r="D38" s="182">
        <f t="shared" si="1"/>
        <v>3.4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1931355</v>
      </c>
      <c r="D39" s="182">
        <f t="shared" si="1"/>
        <v>6.9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27804897.140000001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Fall Mtn Regional School District - SAU60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2015-10-15T15:07:33Z</cp:lastPrinted>
  <dcterms:created xsi:type="dcterms:W3CDTF">1997-12-04T19:04:30Z</dcterms:created>
  <dcterms:modified xsi:type="dcterms:W3CDTF">2015-11-25T16:10:40Z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