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C38" i="12"/>
  <c r="C39" i="12"/>
  <c r="B37" i="12"/>
  <c r="B39" i="12"/>
  <c r="B19" i="12"/>
  <c r="B21" i="12"/>
  <c r="B20" i="12"/>
  <c r="C12" i="12"/>
  <c r="C10" i="12"/>
  <c r="B10" i="12"/>
  <c r="B12" i="12"/>
  <c r="B11" i="12"/>
  <c r="F23" i="1"/>
  <c r="F29" i="1"/>
  <c r="F14" i="1"/>
  <c r="F13" i="1"/>
  <c r="F12" i="1"/>
  <c r="H48" i="1"/>
  <c r="G12" i="1"/>
  <c r="F472" i="1"/>
  <c r="G468" i="1"/>
  <c r="J595" i="1" l="1"/>
  <c r="H595" i="1"/>
  <c r="F582" i="1"/>
  <c r="I333" i="1" l="1"/>
  <c r="H333" i="1"/>
  <c r="G333" i="1"/>
  <c r="K344" i="1"/>
  <c r="I320" i="1"/>
  <c r="J314" i="1"/>
  <c r="H319" i="1"/>
  <c r="F360" i="1" l="1"/>
  <c r="G360" i="1"/>
  <c r="G358" i="1"/>
  <c r="F358" i="1"/>
  <c r="K238" i="1"/>
  <c r="G244" i="1" l="1"/>
  <c r="F244" i="1"/>
  <c r="I243" i="1"/>
  <c r="H243" i="1"/>
  <c r="G243" i="1"/>
  <c r="F243" i="1"/>
  <c r="G241" i="1"/>
  <c r="F241" i="1"/>
  <c r="I239" i="1"/>
  <c r="H239" i="1"/>
  <c r="F239" i="1"/>
  <c r="H238" i="1"/>
  <c r="G239" i="1"/>
  <c r="F238" i="1"/>
  <c r="G236" i="1"/>
  <c r="F236" i="1"/>
  <c r="I234" i="1"/>
  <c r="H234" i="1"/>
  <c r="G234" i="1"/>
  <c r="F234" i="1"/>
  <c r="H233" i="1"/>
  <c r="G233" i="1"/>
  <c r="F233" i="1"/>
  <c r="G208" i="1"/>
  <c r="F208" i="1"/>
  <c r="I207" i="1"/>
  <c r="H207" i="1"/>
  <c r="G207" i="1"/>
  <c r="F207" i="1"/>
  <c r="G205" i="1"/>
  <c r="F205" i="1"/>
  <c r="I203" i="1"/>
  <c r="H203" i="1"/>
  <c r="I202" i="1"/>
  <c r="H202" i="1"/>
  <c r="G202" i="1"/>
  <c r="F202" i="1"/>
  <c r="G200" i="1"/>
  <c r="F200" i="1"/>
  <c r="I198" i="1"/>
  <c r="H198" i="1"/>
  <c r="G198" i="1"/>
  <c r="F198" i="1"/>
  <c r="H197" i="1"/>
  <c r="G197" i="1"/>
  <c r="F197" i="1"/>
  <c r="G132" i="1" l="1"/>
  <c r="H155" i="1"/>
  <c r="G158" i="1"/>
  <c r="G97" i="1"/>
  <c r="H161" i="1"/>
  <c r="H154" i="1"/>
  <c r="H159" i="1"/>
  <c r="H151" i="1" l="1"/>
  <c r="F109" i="1" l="1"/>
  <c r="F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D115" i="2"/>
  <c r="F115" i="2"/>
  <c r="G115" i="2"/>
  <c r="E119" i="2"/>
  <c r="E120" i="2"/>
  <c r="E121" i="2"/>
  <c r="E122" i="2"/>
  <c r="E123" i="2"/>
  <c r="E124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H474" i="1"/>
  <c r="H476" i="1" s="1"/>
  <c r="H624" i="1" s="1"/>
  <c r="I474" i="1"/>
  <c r="I476" i="1" s="1"/>
  <c r="H625" i="1" s="1"/>
  <c r="J625" i="1" s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I571" i="1" s="1"/>
  <c r="J560" i="1"/>
  <c r="K560" i="1"/>
  <c r="L562" i="1"/>
  <c r="L565" i="1" s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K598" i="1" s="1"/>
  <c r="G647" i="1" s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H641" i="1"/>
  <c r="G643" i="1"/>
  <c r="H643" i="1"/>
  <c r="G644" i="1"/>
  <c r="H644" i="1"/>
  <c r="G649" i="1"/>
  <c r="G650" i="1"/>
  <c r="G652" i="1"/>
  <c r="H652" i="1"/>
  <c r="G653" i="1"/>
  <c r="H653" i="1"/>
  <c r="G654" i="1"/>
  <c r="H654" i="1"/>
  <c r="H655" i="1"/>
  <c r="C26" i="10"/>
  <c r="L351" i="1"/>
  <c r="L290" i="1"/>
  <c r="G62" i="2"/>
  <c r="D19" i="13"/>
  <c r="C19" i="13" s="1"/>
  <c r="L427" i="1"/>
  <c r="J641" i="1"/>
  <c r="J571" i="1"/>
  <c r="K571" i="1"/>
  <c r="L433" i="1"/>
  <c r="L419" i="1"/>
  <c r="I169" i="1"/>
  <c r="J644" i="1"/>
  <c r="J643" i="1"/>
  <c r="G476" i="1"/>
  <c r="H623" i="1" s="1"/>
  <c r="J623" i="1" s="1"/>
  <c r="F169" i="1"/>
  <c r="J140" i="1"/>
  <c r="F571" i="1"/>
  <c r="G22" i="2"/>
  <c r="J552" i="1"/>
  <c r="H552" i="1"/>
  <c r="H140" i="1"/>
  <c r="L401" i="1"/>
  <c r="C139" i="2" s="1"/>
  <c r="L393" i="1"/>
  <c r="C138" i="2" s="1"/>
  <c r="F22" i="13"/>
  <c r="H25" i="13"/>
  <c r="C25" i="13" s="1"/>
  <c r="J545" i="1"/>
  <c r="H192" i="1"/>
  <c r="L309" i="1"/>
  <c r="J655" i="1"/>
  <c r="L570" i="1"/>
  <c r="I545" i="1"/>
  <c r="G36" i="2"/>
  <c r="C22" i="13"/>
  <c r="K545" i="1" l="1"/>
  <c r="F552" i="1"/>
  <c r="A40" i="12"/>
  <c r="A13" i="12"/>
  <c r="J640" i="1"/>
  <c r="J639" i="1"/>
  <c r="F81" i="2"/>
  <c r="E31" i="2"/>
  <c r="E103" i="2"/>
  <c r="E78" i="2"/>
  <c r="E81" i="2" s="1"/>
  <c r="F18" i="2"/>
  <c r="A31" i="12"/>
  <c r="D18" i="13"/>
  <c r="C18" i="13" s="1"/>
  <c r="E13" i="13"/>
  <c r="C13" i="13" s="1"/>
  <c r="G157" i="2"/>
  <c r="G161" i="2"/>
  <c r="G81" i="2"/>
  <c r="C91" i="2"/>
  <c r="D91" i="2"/>
  <c r="D15" i="13"/>
  <c r="C15" i="13" s="1"/>
  <c r="H33" i="13"/>
  <c r="D81" i="2"/>
  <c r="E62" i="2"/>
  <c r="E63" i="2" s="1"/>
  <c r="F192" i="1"/>
  <c r="C18" i="2"/>
  <c r="J617" i="1"/>
  <c r="J622" i="1"/>
  <c r="H52" i="1"/>
  <c r="H619" i="1" s="1"/>
  <c r="J619" i="1" s="1"/>
  <c r="J624" i="1"/>
  <c r="D18" i="2"/>
  <c r="I446" i="1"/>
  <c r="G642" i="1" s="1"/>
  <c r="J642" i="1" s="1"/>
  <c r="G645" i="1"/>
  <c r="J645" i="1" s="1"/>
  <c r="J634" i="1"/>
  <c r="J649" i="1"/>
  <c r="L560" i="1"/>
  <c r="L571" i="1" s="1"/>
  <c r="I552" i="1"/>
  <c r="L539" i="1"/>
  <c r="G545" i="1"/>
  <c r="K551" i="1"/>
  <c r="L524" i="1"/>
  <c r="K549" i="1"/>
  <c r="E118" i="2"/>
  <c r="E128" i="2" s="1"/>
  <c r="K338" i="1"/>
  <c r="K352" i="1" s="1"/>
  <c r="H338" i="1"/>
  <c r="H352" i="1" s="1"/>
  <c r="G338" i="1"/>
  <c r="G352" i="1" s="1"/>
  <c r="F338" i="1"/>
  <c r="F352" i="1" s="1"/>
  <c r="E109" i="2"/>
  <c r="E115" i="2" s="1"/>
  <c r="H661" i="1"/>
  <c r="G661" i="1"/>
  <c r="L362" i="1"/>
  <c r="C27" i="10" s="1"/>
  <c r="F661" i="1"/>
  <c r="D127" i="2"/>
  <c r="D128" i="2" s="1"/>
  <c r="D145" i="2" s="1"/>
  <c r="D29" i="13"/>
  <c r="C29" i="13" s="1"/>
  <c r="E16" i="13"/>
  <c r="C16" i="13" s="1"/>
  <c r="C17" i="10"/>
  <c r="C125" i="2"/>
  <c r="C19" i="10"/>
  <c r="C15" i="10"/>
  <c r="C13" i="10"/>
  <c r="C10" i="10"/>
  <c r="H647" i="1"/>
  <c r="J647" i="1" s="1"/>
  <c r="C124" i="2"/>
  <c r="D14" i="13"/>
  <c r="C14" i="13" s="1"/>
  <c r="C122" i="2"/>
  <c r="E8" i="13"/>
  <c r="C8" i="13" s="1"/>
  <c r="C120" i="2"/>
  <c r="C119" i="2"/>
  <c r="D6" i="13"/>
  <c r="C6" i="13" s="1"/>
  <c r="L382" i="1"/>
  <c r="G636" i="1" s="1"/>
  <c r="J636" i="1" s="1"/>
  <c r="C29" i="10"/>
  <c r="G651" i="1"/>
  <c r="J651" i="1" s="1"/>
  <c r="H662" i="1"/>
  <c r="I662" i="1" s="1"/>
  <c r="C21" i="10"/>
  <c r="C18" i="10"/>
  <c r="C16" i="10"/>
  <c r="D7" i="13"/>
  <c r="C7" i="13" s="1"/>
  <c r="L247" i="1"/>
  <c r="K257" i="1"/>
  <c r="K271" i="1" s="1"/>
  <c r="C112" i="2"/>
  <c r="C11" i="10"/>
  <c r="J257" i="1"/>
  <c r="J271" i="1" s="1"/>
  <c r="I257" i="1"/>
  <c r="I271" i="1" s="1"/>
  <c r="H257" i="1"/>
  <c r="H271" i="1" s="1"/>
  <c r="G257" i="1"/>
  <c r="G271" i="1" s="1"/>
  <c r="H660" i="1"/>
  <c r="F257" i="1"/>
  <c r="F271" i="1" s="1"/>
  <c r="C123" i="2"/>
  <c r="C20" i="10"/>
  <c r="D12" i="13"/>
  <c r="C12" i="13" s="1"/>
  <c r="C121" i="2"/>
  <c r="L211" i="1"/>
  <c r="F660" i="1" s="1"/>
  <c r="C110" i="2"/>
  <c r="D5" i="13"/>
  <c r="C5" i="13" s="1"/>
  <c r="C109" i="2"/>
  <c r="D62" i="2"/>
  <c r="D63" i="2" s="1"/>
  <c r="C78" i="2"/>
  <c r="C81" i="2"/>
  <c r="C62" i="2"/>
  <c r="F112" i="1"/>
  <c r="C35" i="10"/>
  <c r="C56" i="2"/>
  <c r="K503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H646" i="1"/>
  <c r="J652" i="1"/>
  <c r="G571" i="1"/>
  <c r="I434" i="1"/>
  <c r="G434" i="1"/>
  <c r="I663" i="1"/>
  <c r="G51" i="2" l="1"/>
  <c r="G104" i="2"/>
  <c r="E104" i="2"/>
  <c r="F51" i="2"/>
  <c r="K552" i="1"/>
  <c r="L545" i="1"/>
  <c r="D31" i="13"/>
  <c r="C31" i="13" s="1"/>
  <c r="F33" i="13"/>
  <c r="E145" i="2"/>
  <c r="F664" i="1"/>
  <c r="F667" i="1" s="1"/>
  <c r="G635" i="1"/>
  <c r="J635" i="1" s="1"/>
  <c r="I661" i="1"/>
  <c r="G664" i="1"/>
  <c r="E33" i="13"/>
  <c r="D35" i="13" s="1"/>
  <c r="H664" i="1"/>
  <c r="H672" i="1" s="1"/>
  <c r="C6" i="10" s="1"/>
  <c r="C28" i="10"/>
  <c r="D22" i="10" s="1"/>
  <c r="H648" i="1"/>
  <c r="J648" i="1" s="1"/>
  <c r="C128" i="2"/>
  <c r="C115" i="2"/>
  <c r="L257" i="1"/>
  <c r="L271" i="1" s="1"/>
  <c r="G632" i="1" s="1"/>
  <c r="J632" i="1" s="1"/>
  <c r="I660" i="1"/>
  <c r="C63" i="2"/>
  <c r="C104" i="2" s="1"/>
  <c r="C36" i="10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I664" i="1"/>
  <c r="I672" i="1" s="1"/>
  <c r="C7" i="10" s="1"/>
  <c r="F672" i="1"/>
  <c r="C4" i="10" s="1"/>
  <c r="G672" i="1"/>
  <c r="C5" i="10" s="1"/>
  <c r="G667" i="1"/>
  <c r="H667" i="1"/>
  <c r="D17" i="10"/>
  <c r="D23" i="10"/>
  <c r="C145" i="2"/>
  <c r="D26" i="10"/>
  <c r="D25" i="10"/>
  <c r="D10" i="10"/>
  <c r="D24" i="10"/>
  <c r="D20" i="10"/>
  <c r="D12" i="10"/>
  <c r="D27" i="10"/>
  <c r="D15" i="10"/>
  <c r="D16" i="10"/>
  <c r="D18" i="10"/>
  <c r="C30" i="10"/>
  <c r="D19" i="10"/>
  <c r="D13" i="10"/>
  <c r="D11" i="10"/>
  <c r="D2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<sst xmlns="http://schemas.openxmlformats.org/spreadsheetml/2006/main" count="3956" uniqueCount="914">
  <si>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</si>
  <si>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</si>
  <si>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</si>
  <si>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</si>
  <si>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</si>
  <si>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</si>
  <si>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</si>
  <si>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</si>
  <si>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</si>
  <si>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</si>
  <si>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</si>
  <si>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</si>
  <si>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</si>
  <si>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</si>
  <si>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</si>
  <si>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</si>
  <si>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</si>
  <si>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</si>
  <si>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</si>
  <si>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</si>
  <si>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</si>
  <si>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</si>
  <si>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</si>
  <si>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</si>
  <si>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</si>
  <si>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</si>
  <si>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</si>
  <si>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</si>
  <si>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</si>
  <si>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</si>
  <si>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</si>
  <si>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</si>
  <si>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</si>
  <si>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</si>
  <si>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</si>
  <si>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</si>
  <si>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</si>
  <si>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</si>
  <si>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</si>
  <si>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</si>
  <si>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</si>
  <si>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</si>
  <si>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</si>
  <si>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</si>
  <si>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</si>
  <si>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</si>
  <si>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</si>
  <si>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</si>
  <si>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</si>
  <si>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</si>
  <si>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</si>
  <si>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</si>
  <si>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</si>
  <si>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</si>
  <si>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</si>
  <si>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</si>
  <si>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</si>
  <si>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</si>
  <si>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</si>
  <si>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</si>
  <si>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</si>
  <si>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</si>
  <si>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</si>
  <si>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</si>
  <si>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</si>
  <si>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</si>
  <si>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</si>
  <si>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</si>
  <si>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</si>
  <si>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</si>
  <si>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</si>
  <si>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</si>
  <si>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</si>
  <si>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</si>
  <si>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</si>
  <si>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</si>
  <si>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</si>
  <si>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</si>
  <si>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</si>
  <si>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</si>
  <si>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</si>
  <si>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</si>
  <si>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</si>
  <si>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</si>
  <si>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</si>
  <si>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</si>
  <si>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</si>
  <si>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</si>
  <si>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</si>
  <si>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</si>
  <si>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</si>
  <si>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</si>
  <si>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</si>
  <si>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</si>
  <si>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</si>
  <si>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</si>
  <si>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</si>
  <si>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</si>
  <si>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</si>
  <si>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</si>
  <si>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</si>
  <si>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</si>
  <si>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</si>
  <si>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</si>
  <si>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</si>
  <si>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</si>
  <si>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</si>
  <si>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</si>
  <si>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</si>
  <si>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</si>
  <si>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</si>
  <si>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</si>
  <si>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</si>
  <si>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</si>
  <si>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</si>
  <si>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</si>
  <si>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</si>
  <si>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</si>
  <si>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</si>
  <si>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</si>
  <si>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</si>
  <si>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</si>
  <si>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</si>
  <si>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</si>
  <si>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</si>
  <si>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</si>
  <si>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</si>
  <si>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</si>
  <si>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</si>
  <si>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</si>
  <si>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</si>
  <si>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</si>
  <si>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</si>
  <si>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</si>
  <si>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</si>
  <si>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</si>
  <si>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</si>
  <si>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</si>
  <si>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</si>
  <si>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</si>
  <si>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</si>
  <si>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</si>
  <si>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</si>
  <si>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</si>
  <si>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</si>
  <si>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</si>
  <si>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</si>
  <si>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</si>
  <si>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</si>
  <si>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</si>
  <si>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</si>
  <si>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</si>
  <si>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</si>
  <si>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</si>
  <si>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</si>
  <si>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</si>
  <si>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</si>
  <si>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</si>
  <si>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</si>
  <si>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</si>
  <si>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</si>
  <si>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</si>
  <si>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</si>
  <si>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</si>
  <si>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</si>
  <si>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</si>
  <si>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</si>
  <si>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</si>
  <si>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</si>
  <si>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</si>
  <si>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</si>
  <si>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</si>
  <si>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</si>
  <si>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</si>
  <si>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</si>
  <si>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</si>
  <si>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</si>
  <si>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</si>
  <si>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</si>
  <si>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</si>
  <si>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</si>
  <si>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</si>
  <si>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</si>
  <si>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</si>
  <si>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</si>
  <si>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</si>
  <si>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</si>
  <si>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</si>
  <si>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</si>
  <si>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</si>
  <si>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</si>
  <si>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</si>
  <si>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</si>
  <si>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</si>
  <si>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</si>
  <si>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</si>
  <si>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</si>
  <si>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</si>
  <si>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</si>
  <si>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</si>
  <si>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</si>
  <si>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</si>
  <si>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</si>
  <si>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</si>
  <si>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</si>
  <si>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</si>
  <si>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</si>
  <si>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</si>
  <si>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</si>
  <si>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</si>
  <si>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</si>
  <si>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</si>
  <si>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</si>
  <si>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</si>
  <si>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</si>
  <si>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</si>
  <si>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</si>
  <si>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</si>
  <si>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</si>
  <si>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</si>
  <si>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</si>
  <si>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</si>
  <si>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</si>
  <si>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</si>
  <si>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</si>
  <si>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</si>
  <si>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</si>
  <si>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</si>
  <si>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</si>
  <si>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</si>
  <si>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</si>
  <si>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</si>
  <si>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</si>
  <si>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</si>
  <si>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</si>
  <si>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</si>
  <si>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</si>
  <si>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</si>
  <si>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</si>
  <si>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</si>
  <si>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</si>
  <si>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</si>
  <si>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</si>
  <si>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</si>
  <si>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</si>
  <si>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</si>
  <si>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</si>
  <si>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</si>
  <si>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</si>
  <si>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</si>
  <si>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</si>
  <si>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</si>
  <si>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</si>
  <si>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</si>
  <si>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</si>
  <si>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</si>
  <si>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</si>
  <si>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</si>
  <si>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</si>
  <si>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</si>
  <si>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</si>
  <si>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</si>
  <si>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</si>
  <si>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</si>
  <si>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</si>
  <si>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</si>
  <si>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</si>
  <si>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</si>
  <si>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</si>
  <si>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</si>
  <si>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</si>
  <si>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</si>
  <si>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</si>
  <si>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</si>
  <si>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</si>
  <si>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</si>
  <si>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</si>
  <si>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</si>
  <si>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</si>
  <si>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</si>
  <si>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</si>
  <si>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</si>
  <si>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</si>
  <si>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</si>
  <si>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</si>
  <si>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</si>
  <si>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</si>
  <si>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</si>
  <si>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</si>
  <si>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</si>
  <si>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</si>
  <si>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</si>
  <si>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</si>
  <si>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</si>
  <si>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</si>
  <si>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</si>
  <si>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</si>
  <si>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</si>
  <si>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</si>
  <si>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</si>
  <si>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</si>
  <si>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</si>
  <si>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</si>
  <si>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</si>
  <si>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</si>
  <si>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</si>
  <si>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</si>
  <si>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</si>
  <si>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</si>
  <si>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</si>
  <si>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</si>
  <si>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</si>
  <si>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</si>
  <si>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</si>
  <si>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</si>
  <si>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</si>
  <si>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</si>
  <si>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</si>
  <si>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</si>
  <si>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</si>
  <si>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</si>
  <si>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</si>
  <si>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</si>
  <si>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</si>
  <si>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</si>
  <si>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</si>
  <si>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</si>
  <si>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</si>
  <si>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</si>
  <si>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</si>
  <si>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</si>
  <si>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</si>
  <si>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</si>
  <si>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</si>
  <si>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</si>
  <si>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</si>
  <si>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</si>
  <si>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</si>
  <si>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</si>
  <si>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</si>
  <si>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</si>
  <si>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</si>
  <si>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</si>
  <si>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</si>
  <si>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</si>
  <si>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</si>
  <si>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</si>
  <si>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</si>
  <si>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</si>
  <si>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</si>
  <si>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</si>
  <si>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</si>
  <si>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</si>
  <si>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</si>
  <si>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</si>
  <si>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</si>
  <si>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</si>
  <si>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</si>
  <si>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</si>
  <si>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</si>
  <si>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</si>
  <si>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</si>
  <si>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</si>
  <si>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</si>
  <si>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</si>
  <si>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</si>
  <si>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</si>
  <si>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</si>
  <si>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</si>
  <si>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</si>
  <si>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</si>
  <si>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</si>
  <si>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</si>
  <si>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</si>
  <si>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</si>
  <si>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</si>
  <si>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</si>
  <si>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</si>
  <si>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</si>
  <si>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</si>
  <si>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</si>
  <si>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</si>
  <si>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</si>
  <si>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</si>
  <si>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</si>
  <si>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</si>
  <si>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</si>
  <si>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</si>
  <si>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</si>
  <si>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</si>
  <si>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</si>
  <si>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</si>
  <si>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</si>
  <si>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</si>
  <si>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</si>
  <si>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</si>
  <si>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</si>
  <si>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</si>
  <si>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</si>
  <si>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</si>
  <si>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</si>
  <si>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</si>
  <si>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</si>
  <si>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</si>
  <si>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</si>
  <si>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</si>
  <si>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</si>
  <si>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</si>
  <si>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</si>
  <si>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</si>
  <si>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</si>
  <si>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</si>
  <si>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</si>
  <si>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</si>
  <si>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</si>
  <si>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</si>
  <si>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</si>
  <si>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</si>
  <si>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</si>
  <si>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</si>
  <si>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</si>
  <si>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</si>
  <si>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</si>
  <si>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</si>
  <si>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</si>
  <si>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</si>
  <si>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</si>
  <si>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</si>
  <si>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</si>
  <si>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</si>
  <si>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</si>
  <si>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</si>
  <si>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</si>
  <si>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</si>
  <si>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</si>
  <si>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</si>
  <si>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</si>
  <si>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</si>
  <si>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</si>
  <si>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</si>
  <si>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</si>
  <si>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</si>
  <si>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</si>
  <si>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</si>
  <si>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</si>
  <si>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</si>
  <si>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</si>
  <si>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</si>
  <si>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</si>
  <si>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</si>
  <si>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</si>
  <si>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</si>
  <si>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</si>
  <si>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</si>
  <si>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</si>
  <si>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</si>
  <si>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</si>
  <si>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</si>
  <si>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</si>
  <si>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</si>
  <si>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</si>
  <si>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</si>
  <si>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</si>
  <si>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</si>
  <si>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</si>
  <si>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</si>
  <si>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</si>
  <si>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</si>
  <si>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</si>
  <si>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</si>
  <si>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</si>
  <si>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</si>
  <si>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</si>
  <si>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</si>
  <si>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</si>
  <si>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</si>
  <si>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</si>
  <si>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</si>
  <si>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</si>
  <si>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</si>
  <si>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</si>
  <si>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</si>
  <si>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</si>
  <si>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</si>
  <si>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</si>
  <si>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</si>
  <si>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</si>
  <si>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</si>
  <si>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</si>
  <si>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</si>
  <si>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</si>
  <si>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</si>
  <si>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</si>
  <si>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</si>
  <si>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</si>
  <si>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</si>
  <si>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</si>
  <si>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</si>
  <si>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</si>
  <si>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</si>
  <si>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</si>
  <si>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</si>
  <si>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</si>
  <si>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</si>
  <si>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</si>
  <si>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</si>
  <si>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</si>
  <si>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</si>
  <si>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</si>
  <si>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</si>
  <si>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</si>
  <si>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</si>
  <si>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</si>
  <si>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</si>
  <si>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</si>
  <si>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</si>
  <si>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</si>
  <si>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</si>
  <si>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</si>
  <si>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</si>
  <si>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</si>
  <si>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</si>
  <si>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</si>
  <si>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</si>
  <si>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</si>
  <si>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</si>
  <si>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</si>
  <si>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</si>
  <si>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</si>
  <si>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</si>
  <si>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</si>
  <si>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</si>
  <si>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</si>
  <si>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</si>
  <si>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</si>
  <si>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</si>
  <si>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</si>
  <si>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</si>
  <si>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</si>
  <si>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</si>
  <si>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</si>
  <si>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</si>
  <si>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</si>
  <si>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</si>
  <si>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</si>
  <si>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</si>
  <si>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</si>
  <si>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</si>
  <si>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</si>
  <si>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</si>
  <si>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</si>
  <si>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</si>
  <si>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</si>
  <si>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</si>
  <si>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</si>
  <si>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</si>
  <si>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</si>
  <si>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</si>
  <si>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</si>
  <si>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</si>
  <si>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</si>
  <si>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</si>
  <si>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</si>
  <si>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</si>
  <si>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</si>
  <si>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</si>
  <si>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</si>
  <si>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</si>
  <si>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</si>
  <si>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</si>
  <si>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</si>
  <si>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</si>
  <si>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</si>
  <si>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</si>
  <si>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</si>
  <si>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</si>
  <si>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</si>
  <si>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</si>
  <si>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</si>
  <si>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</si>
  <si>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</si>
  <si>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</si>
  <si>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</si>
  <si>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</si>
  <si>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</si>
  <si>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</si>
  <si>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</si>
  <si>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</si>
  <si>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</si>
  <si>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</si>
  <si>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</si>
  <si>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</si>
  <si>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</si>
  <si>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</si>
  <si>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</si>
  <si>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</si>
  <si>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</si>
  <si>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</si>
  <si>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</si>
  <si>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</si>
  <si>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</si>
  <si>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</si>
  <si>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</si>
  <si>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</si>
  <si>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</si>
  <si>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</si>
  <si>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</si>
  <si>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</si>
  <si>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</si>
  <si>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</si>
  <si>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</si>
  <si>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</si>
  <si>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</si>
  <si>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</si>
  <si>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</si>
  <si>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</si>
  <si>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</si>
  <si>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</si>
  <si>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</si>
  <si>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</si>
  <si>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</si>
  <si>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</si>
  <si>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</si>
  <si>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</si>
  <si>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</si>
  <si>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</si>
  <si>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</si>
  <si>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</si>
  <si>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</si>
  <si>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</si>
  <si>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</si>
  <si>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</si>
  <si>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</si>
  <si>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</si>
  <si>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</si>
  <si>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</si>
  <si>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</si>
  <si>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</si>
  <si>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</si>
  <si>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</si>
  <si>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</si>
  <si>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</si>
  <si>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</si>
  <si>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</si>
  <si>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</si>
  <si>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</si>
  <si>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</si>
  <si>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</si>
  <si>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</si>
  <si>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</si>
  <si>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</si>
  <si>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</si>
  <si>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</si>
  <si>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</si>
  <si>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</si>
  <si>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</si>
  <si>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</si>
  <si>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</si>
  <si>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</si>
  <si>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</si>
  <si>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</si>
  <si>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</si>
  <si>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</si>
  <si>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</si>
  <si>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</si>
  <si>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</si>
  <si>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</si>
  <si>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</si>
  <si>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</si>
  <si>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</si>
  <si>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</si>
  <si>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</si>
  <si>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</si>
  <si>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</si>
  <si>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</si>
  <si>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</si>
  <si>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</si>
  <si>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</si>
  <si>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</si>
  <si>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</si>
  <si>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</si>
  <si>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</si>
  <si>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</si>
  <si>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</si>
  <si>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</si>
  <si>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</si>
  <si>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</si>
  <si>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</si>
  <si>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</si>
  <si>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</si>
  <si>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</si>
  <si>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</si>
  <si>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</si>
  <si>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</si>
  <si>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</si>
  <si>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</si>
  <si>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</si>
  <si>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</si>
  <si>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</si>
  <si>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</si>
  <si>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</si>
  <si>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</si>
  <si>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</si>
  <si>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</si>
  <si>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</si>
  <si>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</si>
  <si>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</si>
  <si>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</si>
  <si>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</si>
  <si>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</si>
  <si>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</si>
  <si>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</si>
  <si>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</si>
  <si>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</si>
  <si>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</si>
  <si>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</si>
  <si>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</si>
  <si>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</si>
  <si>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</si>
  <si>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</si>
  <si>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</si>
  <si>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</si>
  <si>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</si>
  <si>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</si>
  <si>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</si>
  <si>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</si>
  <si>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</si>
  <si>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</si>
  <si>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</si>
  <si>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</si>
  <si>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</si>
  <si>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</si>
  <si>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</si>
  <si>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</si>
  <si>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</si>
  <si>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</si>
  <si>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</si>
  <si>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</si>
  <si>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</si>
  <si>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</si>
  <si>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</si>
  <si>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</si>
  <si>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</si>
  <si>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</si>
  <si>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</si>
  <si>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</si>
  <si>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</si>
  <si>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</si>
  <si>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</si>
  <si>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</si>
  <si>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</si>
  <si>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</si>
  <si>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</si>
  <si>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</si>
  <si>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</si>
  <si>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</si>
  <si>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</si>
  <si>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</si>
  <si>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</si>
  <si>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</si>
  <si>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</si>
  <si>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</si>
  <si>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</si>
  <si>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</si>
  <si>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</si>
  <si>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</si>
  <si>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</si>
  <si>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</si>
  <si>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</si>
  <si>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</si>
  <si>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</si>
  <si>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</si>
  <si>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</si>
  <si>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</si>
  <si>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</si>
  <si>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</si>
  <si>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</si>
  <si>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</si>
  <si>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</si>
  <si>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</si>
  <si>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</si>
  <si>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</si>
  <si>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</si>
  <si>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</si>
  <si>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</si>
  <si>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</si>
  <si>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</si>
  <si>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</si>
  <si>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</si>
  <si>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</si>
  <si>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</si>
  <si>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</si>
  <si>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</si>
  <si>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</si>
  <si>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</si>
  <si>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</si>
  <si>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</si>
  <si>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</si>
  <si>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</si>
  <si>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</si>
  <si>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</si>
  <si>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</si>
  <si>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</si>
  <si>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</si>
  <si>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</si>
  <si>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</si>
  <si>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</si>
  <si>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</si>
  <si>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</si>
  <si>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</si>
  <si>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</si>
  <si>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</si>
  <si>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</si>
  <si>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</si>
  <si>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</si>
  <si>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</si>
  <si>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</si>
  <si>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</si>
  <si>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</si>
  <si>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</si>
  <si>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</si>
  <si>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</si>
  <si>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</si>
  <si>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</si>
  <si>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</si>
  <si>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</si>
  <si>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</si>
  <si>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</si>
  <si>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</si>
  <si>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</si>
  <si>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</si>
  <si>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</si>
  <si>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</si>
  <si>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</si>
  <si>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</si>
  <si>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</si>
  <si>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</si>
  <si>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</si>
  <si>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</si>
  <si>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</si>
  <si>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</si>
  <si>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</si>
  <si>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</si>
  <si>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</si>
  <si>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</si>
  <si>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</si>
  <si>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</si>
  <si>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</si>
  <si>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</si>
  <si>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</si>
  <si>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</si>
  <si>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</si>
  <si>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</si>
  <si>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</si>
  <si>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</si>
  <si>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</si>
  <si>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</si>
  <si>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</si>
  <si>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</si>
  <si>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</si>
  <si>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</si>
  <si>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</si>
  <si>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</si>
  <si>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</si>
  <si>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</si>
  <si>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</si>
  <si>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</si>
  <si>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</si>
  <si>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</si>
  <si>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</si>
  <si>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</si>
  <si>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</si>
  <si>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</si>
  <si>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</si>
  <si>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</si>
  <si>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</si>
  <si>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</si>
  <si>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</si>
  <si>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</si>
  <si>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</si>
  <si>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</si>
  <si>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</si>
  <si>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</si>
  <si>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</si>
  <si>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</si>
  <si>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</si>
  <si>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</si>
  <si>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</si>
  <si>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</si>
  <si>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</si>
  <si>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</si>
  <si>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</si>
  <si>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</si>
  <si>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</si>
  <si>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</si>
  <si>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</si>
  <si>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</si>
  <si>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</si>
  <si>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</si>
  <si>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</si>
  <si>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</si>
  <si>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</si>
  <si>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</si>
  <si>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</si>
  <si>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</si>
  <si>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</si>
  <si>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</si>
  <si>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</si>
  <si>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</si>
  <si>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</si>
  <si>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</si>
  <si>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FARMINGTON </t>
  </si>
  <si>
    <t>2/2013</t>
  </si>
  <si>
    <t>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</si>
</sst>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175</v>
      </c>
      <c r="C2" s="21">
        <v>175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2292778.67</v>
      </c>
      <c r="G9" s="18">
        <v>8021.69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353121.4</f>
        <v>353121.4</v>
      </c>
      <c r="G12" s="18">
        <f>7512.93+544.72</f>
        <v>8057.6500000000005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150000+400000</f>
        <v>550000</v>
      </c>
      <c r="G13" s="18">
        <v>64983.34</v>
      </c>
      <c r="H13" s="18">
        <v>203445.31</v>
      </c>
      <c r="I13" s="18"/>
      <c r="J13" s="67">
        <f>SUM(I442)</f>
        <v>1592899.28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3318.89+32.1+1340.22</f>
        <v>4691.21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3200591.28</v>
      </c>
      <c r="G19" s="41">
        <f>SUM(G9:G18)</f>
        <v>81062.679999999993</v>
      </c>
      <c r="H19" s="41">
        <f>SUM(H9:H18)</f>
        <v>203445.31</v>
      </c>
      <c r="I19" s="41">
        <f>SUM(I9:I18)</f>
        <v>0</v>
      </c>
      <c r="J19" s="41">
        <f>SUM(J9:J18)</f>
        <v>1592899.28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50000</v>
      </c>
      <c r="G22" s="18">
        <v>34606.79</v>
      </c>
      <c r="H22" s="18">
        <v>138820.79999999999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365334.92+400000</f>
        <v>765334.91999999993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415768.47</v>
      </c>
      <c r="G24" s="18">
        <v>43036.35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451547.42</v>
      </c>
      <c r="G28" s="18"/>
      <c r="H28" s="18">
        <v>32871.82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78148.35+222924.37+20016+152376.18+26.64</f>
        <v>473491.54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3419.54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2156142.3499999996</v>
      </c>
      <c r="G32" s="41">
        <f>SUM(G22:G31)</f>
        <v>81062.679999999993</v>
      </c>
      <c r="H32" s="41">
        <f>SUM(H22:H31)</f>
        <v>171692.62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485251.54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4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21577.69+10175</f>
        <v>31752.69</v>
      </c>
      <c r="I48" s="18"/>
      <c r="J48" s="13">
        <f>SUM(I459)</f>
        <v>1592899.28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509197.39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1044448.93</v>
      </c>
      <c r="G51" s="41">
        <f>SUM(G35:G50)</f>
        <v>0</v>
      </c>
      <c r="H51" s="41">
        <f>SUM(H35:H50)</f>
        <v>31752.69</v>
      </c>
      <c r="I51" s="41">
        <f>SUM(I35:I50)</f>
        <v>0</v>
      </c>
      <c r="J51" s="41">
        <f>SUM(J35:J50)</f>
        <v>1592899.28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3200591.28</v>
      </c>
      <c r="G52" s="41">
        <f>G51+G32</f>
        <v>81062.679999999993</v>
      </c>
      <c r="H52" s="41">
        <f>H51+H32</f>
        <v>203445.31</v>
      </c>
      <c r="I52" s="41">
        <f>I51+I32</f>
        <v>0</v>
      </c>
      <c r="J52" s="41">
        <f>J51+J32</f>
        <v>1592899.28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5247875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5247875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11230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770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14358+60049.61+95200.63+1401091.6+910344.75</f>
        <v>2481044.59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2481814.59</v>
      </c>
      <c r="G79" s="45" t="s">
        <v>289</v>
      </c>
      <c r="H79" s="41">
        <f>SUM(H63:H78)</f>
        <v>11230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15930.29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15930.29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4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34198.05+69054.54+51883.18+1672.06</f>
        <v>156807.82999999999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2900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175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160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45314.1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12+18.46+150+9.27+2182.99</f>
        <v>2372.7199999999998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681.19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51603.01</v>
      </c>
      <c r="G111" s="41">
        <f>SUM(G97:G110)</f>
        <v>156807.82999999999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7797222.8899999997</v>
      </c>
      <c r="G112" s="41">
        <f>G60+G111</f>
        <v>156807.82999999999</v>
      </c>
      <c r="H112" s="41">
        <f>H60+H79+H94+H111</f>
        <v>11230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6055763.5800000001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1047703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7103466.5800000001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143079.57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19271.2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1952.36+3227.98+1767.24</f>
        <v>6947.58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162350.77000000002</v>
      </c>
      <c r="G136" s="41">
        <f>SUM(G123:G135)</f>
        <v>6947.58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>
        <v>22061.360000000001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7265817.3499999996</v>
      </c>
      <c r="G140" s="41">
        <f>G121+SUM(G136:G137)</f>
        <v>6947.58</v>
      </c>
      <c r="H140" s="41">
        <f>H121+SUM(H136:H139)</f>
        <v>22061.360000000001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26804.79</v>
      </c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26804.79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f>17235.44+92004.25</f>
        <v>109239.69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213360.35+382941.03+44553.09+11622.43+116666.92+13094+14490.73+141327.83+13094+14532.61+406.38</f>
        <v>966089.37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27657.08+24964.13+64764.87+85051.6</f>
        <v>202437.68000000002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64669.68+120845.08+52899.9+21314+24768.25+16553.59</f>
        <v>301050.50000000006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51701.77+203023.85+3679.03+3688.47</f>
        <v>262093.12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226805.33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f>18279.06+22668.46</f>
        <v>40947.520000000004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226805.33</v>
      </c>
      <c r="G162" s="41">
        <f>SUM(G150:G161)</f>
        <v>301050.50000000006</v>
      </c>
      <c r="H162" s="41">
        <f>SUM(H150:H161)</f>
        <v>1580807.38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253610.12</v>
      </c>
      <c r="G169" s="41">
        <f>G147+G162+SUM(G163:G168)</f>
        <v>301050.50000000006</v>
      </c>
      <c r="H169" s="41">
        <f>H147+H162+SUM(H163:H168)</f>
        <v>1580807.38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48390.81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210870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210870</v>
      </c>
      <c r="G183" s="41">
        <f>SUM(G179:G182)</f>
        <v>48390.81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210870</v>
      </c>
      <c r="G192" s="41">
        <f>G183+SUM(G188:G191)</f>
        <v>48390.81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15527520.359999998</v>
      </c>
      <c r="G193" s="47">
        <f>G112+G140+G169+G192</f>
        <v>513196.72000000003</v>
      </c>
      <c r="H193" s="47">
        <f>H112+H140+H169+H192</f>
        <v>1614098.74</v>
      </c>
      <c r="I193" s="47">
        <f>I112+I140+I169+I192</f>
        <v>0</v>
      </c>
      <c r="J193" s="47">
        <f>J112+J140+J192</f>
        <v>50000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2334624.57+30438.21</f>
        <v>2365062.7799999998</v>
      </c>
      <c r="G197" s="18">
        <f>1007701.88+27934.67</f>
        <v>1035636.55</v>
      </c>
      <c r="H197" s="18">
        <f>31825.23+1530</f>
        <v>33355.229999999996</v>
      </c>
      <c r="I197" s="18">
        <v>207440.32</v>
      </c>
      <c r="J197" s="18">
        <v>2449.29</v>
      </c>
      <c r="K197" s="18"/>
      <c r="L197" s="19">
        <f>SUM(F197:K197)</f>
        <v>3643944.17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1378649.59+4960.6</f>
        <v>1383610.1900000002</v>
      </c>
      <c r="G198" s="18">
        <f>310729.57+1134.66</f>
        <v>311864.23</v>
      </c>
      <c r="H198" s="18">
        <f>342071.37+115510.31</f>
        <v>457581.68</v>
      </c>
      <c r="I198" s="18">
        <f>12577.41+724.2</f>
        <v>13301.61</v>
      </c>
      <c r="J198" s="18">
        <v>984.7</v>
      </c>
      <c r="K198" s="18">
        <v>3979.36</v>
      </c>
      <c r="L198" s="19">
        <f>SUM(F198:K198)</f>
        <v>2171321.77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110343.34+1190+1251.2</f>
        <v>112784.54</v>
      </c>
      <c r="G200" s="18">
        <f>51633.54+98.71+280.64</f>
        <v>52012.89</v>
      </c>
      <c r="H200" s="18">
        <v>3930</v>
      </c>
      <c r="I200" s="18">
        <v>4809.6400000000003</v>
      </c>
      <c r="J200" s="18"/>
      <c r="K200" s="18"/>
      <c r="L200" s="19">
        <f>SUM(F200:K200)</f>
        <v>173537.07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264639.33+260483.97</f>
        <v>525123.30000000005</v>
      </c>
      <c r="G202" s="18">
        <f>132687.33+115667.88</f>
        <v>248355.21</v>
      </c>
      <c r="H202" s="18">
        <f>56271+50751.32</f>
        <v>107022.32</v>
      </c>
      <c r="I202" s="18">
        <f>3151.86+5923.51</f>
        <v>9075.3700000000008</v>
      </c>
      <c r="J202" s="18"/>
      <c r="K202" s="18">
        <v>193.82</v>
      </c>
      <c r="L202" s="19">
        <f t="shared" ref="L202:L208" si="0">SUM(F202:K202)</f>
        <v>889770.02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94400.36</v>
      </c>
      <c r="G203" s="18">
        <v>46464.3</v>
      </c>
      <c r="H203" s="18">
        <f>10528.49+3332</f>
        <v>13860.49</v>
      </c>
      <c r="I203" s="18">
        <f>14055.2+9493.72</f>
        <v>23548.92</v>
      </c>
      <c r="J203" s="18"/>
      <c r="K203" s="18">
        <v>2032.33</v>
      </c>
      <c r="L203" s="19">
        <f t="shared" si="0"/>
        <v>180306.4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11384.2</v>
      </c>
      <c r="G204" s="18">
        <v>937.34</v>
      </c>
      <c r="H204" s="18">
        <v>684472.14</v>
      </c>
      <c r="I204" s="18"/>
      <c r="J204" s="18"/>
      <c r="K204" s="18">
        <v>3677.06</v>
      </c>
      <c r="L204" s="19">
        <f t="shared" si="0"/>
        <v>700470.74000000011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434462.67+5088.31</f>
        <v>439550.98</v>
      </c>
      <c r="G205" s="18">
        <f>189579.66+638.91</f>
        <v>190218.57</v>
      </c>
      <c r="H205" s="18">
        <v>32660.99</v>
      </c>
      <c r="I205" s="18">
        <v>3585.08</v>
      </c>
      <c r="J205" s="18">
        <v>288.26</v>
      </c>
      <c r="K205" s="18">
        <v>2304</v>
      </c>
      <c r="L205" s="19">
        <f t="shared" si="0"/>
        <v>668607.88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>
        <v>88.4</v>
      </c>
      <c r="H206" s="18"/>
      <c r="I206" s="18"/>
      <c r="J206" s="18"/>
      <c r="K206" s="18">
        <v>230.32</v>
      </c>
      <c r="L206" s="19">
        <f t="shared" si="0"/>
        <v>318.72000000000003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214436.82+77006.19</f>
        <v>291443.01</v>
      </c>
      <c r="G207" s="18">
        <f>119230.26+29172.22</f>
        <v>148402.47999999998</v>
      </c>
      <c r="H207" s="18">
        <f>95788.36+79755.18</f>
        <v>175543.53999999998</v>
      </c>
      <c r="I207" s="18">
        <f>253666.49+16385.3</f>
        <v>270051.78999999998</v>
      </c>
      <c r="J207" s="18">
        <v>52781.760000000002</v>
      </c>
      <c r="K207" s="18">
        <v>573.91999999999996</v>
      </c>
      <c r="L207" s="19">
        <f t="shared" si="0"/>
        <v>938796.50000000012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4661.78+146269.67</f>
        <v>150931.45000000001</v>
      </c>
      <c r="G208" s="18">
        <f>668.96+52897.2</f>
        <v>53566.159999999996</v>
      </c>
      <c r="H208" s="18">
        <v>91018.35</v>
      </c>
      <c r="I208" s="18">
        <v>35451.82</v>
      </c>
      <c r="J208" s="18">
        <v>22944.41</v>
      </c>
      <c r="K208" s="18">
        <v>1368.84</v>
      </c>
      <c r="L208" s="19">
        <f t="shared" si="0"/>
        <v>355281.03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85414.3</v>
      </c>
      <c r="G209" s="18">
        <v>42506.25</v>
      </c>
      <c r="H209" s="18">
        <v>20368.63</v>
      </c>
      <c r="I209" s="18">
        <v>31331.06</v>
      </c>
      <c r="J209" s="18">
        <v>100615.09</v>
      </c>
      <c r="K209" s="18"/>
      <c r="L209" s="19">
        <f>SUM(F209:K209)</f>
        <v>280235.32999999996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5459705.1099999994</v>
      </c>
      <c r="G211" s="41">
        <f t="shared" si="1"/>
        <v>2130052.38</v>
      </c>
      <c r="H211" s="41">
        <f t="shared" si="1"/>
        <v>1619813.3699999999</v>
      </c>
      <c r="I211" s="41">
        <f t="shared" si="1"/>
        <v>598595.61</v>
      </c>
      <c r="J211" s="41">
        <f t="shared" si="1"/>
        <v>180063.51</v>
      </c>
      <c r="K211" s="41">
        <f t="shared" si="1"/>
        <v>14359.65</v>
      </c>
      <c r="L211" s="41">
        <f t="shared" si="1"/>
        <v>10002589.630000001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1215395.2+14323.86</f>
        <v>1229719.06</v>
      </c>
      <c r="G233" s="18">
        <f>508472.71+13145.72</f>
        <v>521618.43</v>
      </c>
      <c r="H233" s="18">
        <f>20105.02+720</f>
        <v>20825.02</v>
      </c>
      <c r="I233" s="18">
        <v>51019.87</v>
      </c>
      <c r="J233" s="18">
        <v>7846.03</v>
      </c>
      <c r="K233" s="18"/>
      <c r="L233" s="19">
        <f>SUM(F233:K233)</f>
        <v>1831028.4100000001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332485.12+2334.4</f>
        <v>334819.52</v>
      </c>
      <c r="G234" s="18">
        <f>102244.81+533.96</f>
        <v>102778.77</v>
      </c>
      <c r="H234" s="18">
        <f>662499.97+54357.79</f>
        <v>716857.76</v>
      </c>
      <c r="I234" s="18">
        <f>1870.91+340.8</f>
        <v>2211.71</v>
      </c>
      <c r="J234" s="18">
        <v>313.27</v>
      </c>
      <c r="K234" s="18">
        <v>1872.64</v>
      </c>
      <c r="L234" s="19">
        <f>SUM(F234:K234)</f>
        <v>1158853.67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115184.61</v>
      </c>
      <c r="I235" s="18"/>
      <c r="J235" s="18"/>
      <c r="K235" s="18"/>
      <c r="L235" s="19">
        <f>SUM(F235:K235)</f>
        <v>115184.61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79155.25+560+588.8</f>
        <v>80304.05</v>
      </c>
      <c r="G236" s="18">
        <f>10223+46.45+132.07</f>
        <v>10401.52</v>
      </c>
      <c r="H236" s="18">
        <v>20529.8</v>
      </c>
      <c r="I236" s="18">
        <v>8413.5400000000009</v>
      </c>
      <c r="J236" s="18">
        <v>19426.16</v>
      </c>
      <c r="K236" s="18">
        <v>3652.89</v>
      </c>
      <c r="L236" s="19">
        <f>SUM(F236:K236)</f>
        <v>142727.96000000002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220466.74+122580.69</f>
        <v>343047.43</v>
      </c>
      <c r="G238" s="18">
        <v>97484.29</v>
      </c>
      <c r="H238" s="18">
        <f>2298.8+23882.98</f>
        <v>26181.78</v>
      </c>
      <c r="I238" s="18">
        <v>1860.57</v>
      </c>
      <c r="J238" s="18"/>
      <c r="K238" s="18">
        <f>507+91.18</f>
        <v>598.18000000000006</v>
      </c>
      <c r="L238" s="19">
        <f t="shared" ref="L238:L244" si="4">SUM(F238:K238)</f>
        <v>469172.25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55540</f>
        <v>55540</v>
      </c>
      <c r="G239" s="18">
        <f>25478.33+54431.95</f>
        <v>79910.28</v>
      </c>
      <c r="H239" s="18">
        <f>5577.64+1568</f>
        <v>7145.64</v>
      </c>
      <c r="I239" s="18">
        <f>12935.58+2787.54+4467.64</f>
        <v>20190.759999999998</v>
      </c>
      <c r="J239" s="18"/>
      <c r="K239" s="18">
        <v>493.22</v>
      </c>
      <c r="L239" s="19">
        <f t="shared" si="4"/>
        <v>163279.90000000002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5357.27</v>
      </c>
      <c r="G240" s="18">
        <v>441.1</v>
      </c>
      <c r="H240" s="18">
        <v>322104.53999999998</v>
      </c>
      <c r="I240" s="18"/>
      <c r="J240" s="18"/>
      <c r="K240" s="18">
        <v>1730.38</v>
      </c>
      <c r="L240" s="19">
        <f t="shared" si="4"/>
        <v>329633.28999999998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220302.46+2394.5</f>
        <v>222696.95999999999</v>
      </c>
      <c r="G241" s="18">
        <f>119018.29+300.67</f>
        <v>119318.95999999999</v>
      </c>
      <c r="H241" s="18">
        <v>16806.77</v>
      </c>
      <c r="I241" s="18">
        <v>1651.45</v>
      </c>
      <c r="J241" s="18">
        <v>324</v>
      </c>
      <c r="K241" s="18">
        <v>8966.51</v>
      </c>
      <c r="L241" s="19">
        <f t="shared" si="4"/>
        <v>369764.65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>
        <v>41.6</v>
      </c>
      <c r="H242" s="18"/>
      <c r="I242" s="18"/>
      <c r="J242" s="18"/>
      <c r="K242" s="18">
        <v>108.39</v>
      </c>
      <c r="L242" s="19">
        <f t="shared" si="4"/>
        <v>149.99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113013.6+36238.2</f>
        <v>149251.79999999999</v>
      </c>
      <c r="G243" s="18">
        <f>58588.6+13728.1</f>
        <v>72316.7</v>
      </c>
      <c r="H243" s="18">
        <f>97622.81+37531.85</f>
        <v>135154.66</v>
      </c>
      <c r="I243" s="18">
        <f>155066.29+7710.73</f>
        <v>162777.02000000002</v>
      </c>
      <c r="J243" s="18">
        <v>27090.44</v>
      </c>
      <c r="K243" s="18">
        <v>270.08</v>
      </c>
      <c r="L243" s="19">
        <f t="shared" si="4"/>
        <v>546860.69999999995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31583.4+68832.78</f>
        <v>100416.18</v>
      </c>
      <c r="G244" s="18">
        <f>5447.78+24892.8</f>
        <v>30340.579999999998</v>
      </c>
      <c r="H244" s="18">
        <v>42832.17</v>
      </c>
      <c r="I244" s="18">
        <v>16683.21</v>
      </c>
      <c r="J244" s="18">
        <v>10797.37</v>
      </c>
      <c r="K244" s="18">
        <v>644.16</v>
      </c>
      <c r="L244" s="19">
        <f t="shared" si="4"/>
        <v>201713.66999999998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40194.97</v>
      </c>
      <c r="G245" s="18">
        <v>20002.939999999999</v>
      </c>
      <c r="H245" s="18">
        <v>9585.24</v>
      </c>
      <c r="I245" s="18">
        <v>14744.03</v>
      </c>
      <c r="J245" s="18">
        <v>47348.28</v>
      </c>
      <c r="K245" s="18"/>
      <c r="L245" s="19">
        <f>SUM(F245:K245)</f>
        <v>131875.46000000002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2561347.2400000002</v>
      </c>
      <c r="G247" s="41">
        <f t="shared" si="5"/>
        <v>1054655.17</v>
      </c>
      <c r="H247" s="41">
        <f t="shared" si="5"/>
        <v>1433207.99</v>
      </c>
      <c r="I247" s="41">
        <f t="shared" si="5"/>
        <v>279552.16000000003</v>
      </c>
      <c r="J247" s="41">
        <f t="shared" si="5"/>
        <v>113145.54999999999</v>
      </c>
      <c r="K247" s="41">
        <f t="shared" si="5"/>
        <v>18336.45</v>
      </c>
      <c r="L247" s="41">
        <f t="shared" si="5"/>
        <v>5460244.5600000005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210870</v>
      </c>
      <c r="K255" s="18"/>
      <c r="L255" s="19">
        <f t="shared" si="6"/>
        <v>210870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210870</v>
      </c>
      <c r="K256" s="41">
        <f t="shared" si="7"/>
        <v>0</v>
      </c>
      <c r="L256" s="41">
        <f>SUM(F256:K256)</f>
        <v>210870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8021052.3499999996</v>
      </c>
      <c r="G257" s="41">
        <f t="shared" si="8"/>
        <v>3184707.55</v>
      </c>
      <c r="H257" s="41">
        <f t="shared" si="8"/>
        <v>3053021.36</v>
      </c>
      <c r="I257" s="41">
        <f t="shared" si="8"/>
        <v>878147.77</v>
      </c>
      <c r="J257" s="41">
        <f t="shared" si="8"/>
        <v>504079.06</v>
      </c>
      <c r="K257" s="41">
        <f t="shared" si="8"/>
        <v>32696.1</v>
      </c>
      <c r="L257" s="41">
        <f t="shared" si="8"/>
        <v>15673704.190000001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48390.81</v>
      </c>
      <c r="L263" s="19">
        <f>SUM(F263:K263)</f>
        <v>48390.81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98390.81</v>
      </c>
      <c r="L270" s="41">
        <f t="shared" si="9"/>
        <v>98390.81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8021052.3499999996</v>
      </c>
      <c r="G271" s="42">
        <f t="shared" si="11"/>
        <v>3184707.55</v>
      </c>
      <c r="H271" s="42">
        <f t="shared" si="11"/>
        <v>3053021.36</v>
      </c>
      <c r="I271" s="42">
        <f t="shared" si="11"/>
        <v>878147.77</v>
      </c>
      <c r="J271" s="42">
        <f t="shared" si="11"/>
        <v>504079.06</v>
      </c>
      <c r="K271" s="42">
        <f t="shared" si="11"/>
        <v>131086.91</v>
      </c>
      <c r="L271" s="42">
        <f t="shared" si="11"/>
        <v>15772095.000000002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334842.89</v>
      </c>
      <c r="G276" s="18">
        <v>94045.89</v>
      </c>
      <c r="H276" s="18">
        <v>688.18</v>
      </c>
      <c r="I276" s="18">
        <v>99610.66</v>
      </c>
      <c r="J276" s="18">
        <v>190498.32</v>
      </c>
      <c r="K276" s="18"/>
      <c r="L276" s="19">
        <f>SUM(F276:K276)</f>
        <v>719685.94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56</v>
      </c>
      <c r="G277" s="18">
        <v>44.74</v>
      </c>
      <c r="H277" s="18">
        <v>350.75</v>
      </c>
      <c r="I277" s="18">
        <v>66.89</v>
      </c>
      <c r="J277" s="18"/>
      <c r="K277" s="18">
        <v>825</v>
      </c>
      <c r="L277" s="19">
        <f>SUM(F277:K277)</f>
        <v>1343.38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20564</v>
      </c>
      <c r="G279" s="18">
        <v>3551.3</v>
      </c>
      <c r="H279" s="18"/>
      <c r="I279" s="18"/>
      <c r="J279" s="18"/>
      <c r="K279" s="18"/>
      <c r="L279" s="19">
        <f>SUM(F279:K279)</f>
        <v>24115.3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1776</v>
      </c>
      <c r="G281" s="18">
        <v>400.54</v>
      </c>
      <c r="H281" s="18">
        <v>35898.74</v>
      </c>
      <c r="I281" s="18">
        <v>1472.22</v>
      </c>
      <c r="J281" s="18">
        <v>11378.05</v>
      </c>
      <c r="K281" s="18"/>
      <c r="L281" s="19">
        <f t="shared" ref="L281:L287" si="12">SUM(F281:K281)</f>
        <v>50925.55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48315.360000000001</v>
      </c>
      <c r="G282" s="18">
        <v>10352.370000000001</v>
      </c>
      <c r="H282" s="18">
        <v>86931.71</v>
      </c>
      <c r="I282" s="18">
        <v>4940.76</v>
      </c>
      <c r="J282" s="18">
        <v>4767.7</v>
      </c>
      <c r="K282" s="18">
        <v>7300</v>
      </c>
      <c r="L282" s="19">
        <f t="shared" si="12"/>
        <v>162607.90000000002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46761</v>
      </c>
      <c r="G283" s="18">
        <v>26537.06</v>
      </c>
      <c r="H283" s="18"/>
      <c r="I283" s="18">
        <v>4856</v>
      </c>
      <c r="J283" s="18"/>
      <c r="K283" s="18"/>
      <c r="L283" s="19">
        <f t="shared" si="12"/>
        <v>78154.06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3718.02</v>
      </c>
      <c r="G287" s="18">
        <v>438.8</v>
      </c>
      <c r="H287" s="18"/>
      <c r="I287" s="18">
        <v>1911.95</v>
      </c>
      <c r="J287" s="18"/>
      <c r="K287" s="18"/>
      <c r="L287" s="19">
        <f t="shared" si="12"/>
        <v>6068.7699999999995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456033.27</v>
      </c>
      <c r="G290" s="42">
        <f t="shared" si="13"/>
        <v>135370.69999999998</v>
      </c>
      <c r="H290" s="42">
        <f t="shared" si="13"/>
        <v>123869.38</v>
      </c>
      <c r="I290" s="42">
        <f t="shared" si="13"/>
        <v>112858.48</v>
      </c>
      <c r="J290" s="42">
        <f t="shared" si="13"/>
        <v>206644.07</v>
      </c>
      <c r="K290" s="42">
        <f t="shared" si="13"/>
        <v>8125</v>
      </c>
      <c r="L290" s="41">
        <f t="shared" si="13"/>
        <v>1042900.9000000001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130</v>
      </c>
      <c r="G314" s="18">
        <v>10.74</v>
      </c>
      <c r="H314" s="18"/>
      <c r="I314" s="18">
        <v>66.72</v>
      </c>
      <c r="J314" s="18">
        <f>38966.25+56629.25</f>
        <v>95595.5</v>
      </c>
      <c r="K314" s="18"/>
      <c r="L314" s="19">
        <f>SUM(F314:K314)</f>
        <v>95802.96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45034.79</v>
      </c>
      <c r="G315" s="18">
        <v>3724.41</v>
      </c>
      <c r="H315" s="18"/>
      <c r="I315" s="18"/>
      <c r="J315" s="18"/>
      <c r="K315" s="18"/>
      <c r="L315" s="19">
        <f>SUM(F315:K315)</f>
        <v>48759.199999999997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25751+260.92</f>
        <v>26011.919999999998</v>
      </c>
      <c r="I319" s="18"/>
      <c r="J319" s="18"/>
      <c r="K319" s="18"/>
      <c r="L319" s="19">
        <f t="shared" ref="L319:L325" si="16">SUM(F319:K319)</f>
        <v>26011.919999999998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885.72</v>
      </c>
      <c r="G320" s="18">
        <v>183.46</v>
      </c>
      <c r="H320" s="18">
        <v>17045.34</v>
      </c>
      <c r="I320" s="18">
        <f>3270.05+450</f>
        <v>3720.05</v>
      </c>
      <c r="J320" s="18"/>
      <c r="K320" s="18">
        <v>9000</v>
      </c>
      <c r="L320" s="19">
        <f t="shared" si="16"/>
        <v>30834.57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58200</v>
      </c>
      <c r="G321" s="18">
        <v>29323.56</v>
      </c>
      <c r="H321" s="18"/>
      <c r="I321" s="18"/>
      <c r="J321" s="18"/>
      <c r="K321" s="18"/>
      <c r="L321" s="19">
        <f t="shared" si="16"/>
        <v>87523.56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104250.51000000001</v>
      </c>
      <c r="G328" s="42">
        <f t="shared" si="17"/>
        <v>33242.17</v>
      </c>
      <c r="H328" s="42">
        <f t="shared" si="17"/>
        <v>43057.259999999995</v>
      </c>
      <c r="I328" s="42">
        <f t="shared" si="17"/>
        <v>3786.77</v>
      </c>
      <c r="J328" s="42">
        <f t="shared" si="17"/>
        <v>95595.5</v>
      </c>
      <c r="K328" s="42">
        <f t="shared" si="17"/>
        <v>9000</v>
      </c>
      <c r="L328" s="41">
        <f t="shared" si="17"/>
        <v>288932.21000000002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64835.15</v>
      </c>
      <c r="G333" s="18">
        <f>2658.63+87.15+4840.19+391.64</f>
        <v>7977.61</v>
      </c>
      <c r="H333" s="18">
        <f>150.41+13381.35+1126.42+2658.88+140.74+4099+1274.81</f>
        <v>22831.610000000004</v>
      </c>
      <c r="I333" s="18">
        <f>1104.46+256.2</f>
        <v>1360.66</v>
      </c>
      <c r="J333" s="18"/>
      <c r="K333" s="18">
        <v>2131.29</v>
      </c>
      <c r="L333" s="19">
        <f t="shared" si="18"/>
        <v>99136.319999999992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64835.15</v>
      </c>
      <c r="G337" s="41">
        <f t="shared" si="19"/>
        <v>7977.61</v>
      </c>
      <c r="H337" s="41">
        <f t="shared" si="19"/>
        <v>22831.610000000004</v>
      </c>
      <c r="I337" s="41">
        <f t="shared" si="19"/>
        <v>1360.66</v>
      </c>
      <c r="J337" s="41">
        <f t="shared" si="19"/>
        <v>0</v>
      </c>
      <c r="K337" s="41">
        <f t="shared" si="19"/>
        <v>2131.29</v>
      </c>
      <c r="L337" s="41">
        <f t="shared" si="18"/>
        <v>99136.319999999992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625118.93000000005</v>
      </c>
      <c r="G338" s="41">
        <f t="shared" si="20"/>
        <v>176590.47999999998</v>
      </c>
      <c r="H338" s="41">
        <f t="shared" si="20"/>
        <v>189758.25000000003</v>
      </c>
      <c r="I338" s="41">
        <f t="shared" si="20"/>
        <v>118005.91</v>
      </c>
      <c r="J338" s="41">
        <f t="shared" si="20"/>
        <v>302239.57</v>
      </c>
      <c r="K338" s="41">
        <f t="shared" si="20"/>
        <v>19256.29</v>
      </c>
      <c r="L338" s="41">
        <f t="shared" si="20"/>
        <v>1430969.4300000002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9395.51+73313.28</f>
        <v>82708.789999999994</v>
      </c>
      <c r="L344" s="19">
        <f t="shared" ref="L344:L350" si="21">SUM(F344:K344)</f>
        <v>82708.789999999994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82708.789999999994</v>
      </c>
      <c r="L351" s="41">
        <f>SUM(L341:L350)</f>
        <v>82708.789999999994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625118.93000000005</v>
      </c>
      <c r="G352" s="41">
        <f>G338</f>
        <v>176590.47999999998</v>
      </c>
      <c r="H352" s="41">
        <f>H338</f>
        <v>189758.25000000003</v>
      </c>
      <c r="I352" s="41">
        <f>I338</f>
        <v>118005.91</v>
      </c>
      <c r="J352" s="41">
        <f>J338</f>
        <v>302239.57</v>
      </c>
      <c r="K352" s="47">
        <f>K338+K351</f>
        <v>101965.07999999999</v>
      </c>
      <c r="L352" s="41">
        <f>L338+L351</f>
        <v>1513678.2200000002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1604.76+18482.66+40649.17</f>
        <v>60736.59</v>
      </c>
      <c r="G358" s="18">
        <f>1000+1000+2161.5+2161.5+122.77+1380.23+3075.99+1171.17+80.87+879.28+1860.1</f>
        <v>14893.410000000002</v>
      </c>
      <c r="H358" s="18">
        <v>141909.78</v>
      </c>
      <c r="I358" s="18">
        <v>154198.84</v>
      </c>
      <c r="J358" s="18"/>
      <c r="K358" s="18"/>
      <c r="L358" s="13">
        <f>SUM(F358:K358)</f>
        <v>371738.62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755.18+31584.85</f>
        <v>32340.03</v>
      </c>
      <c r="G360" s="18">
        <f>2000+57.77+2569.3+1307.34+38.05+1484.6</f>
        <v>7457.0599999999995</v>
      </c>
      <c r="H360" s="18">
        <v>66781.070000000007</v>
      </c>
      <c r="I360" s="18">
        <v>72564.160000000003</v>
      </c>
      <c r="J360" s="18"/>
      <c r="K360" s="18"/>
      <c r="L360" s="19">
        <f>SUM(F360:K360)</f>
        <v>179142.32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93076.62</v>
      </c>
      <c r="G362" s="47">
        <f t="shared" si="22"/>
        <v>22350.47</v>
      </c>
      <c r="H362" s="47">
        <f t="shared" si="22"/>
        <v>208690.85</v>
      </c>
      <c r="I362" s="47">
        <f t="shared" si="22"/>
        <v>226763</v>
      </c>
      <c r="J362" s="47">
        <f t="shared" si="22"/>
        <v>0</v>
      </c>
      <c r="K362" s="47">
        <f t="shared" si="22"/>
        <v>0</v>
      </c>
      <c r="L362" s="47">
        <f t="shared" si="22"/>
        <v>550880.93999999994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140290.79999999999</v>
      </c>
      <c r="G367" s="18"/>
      <c r="H367" s="18">
        <v>66019.199999999997</v>
      </c>
      <c r="I367" s="56">
        <f>SUM(F367:H367)</f>
        <v>206310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13908.04</v>
      </c>
      <c r="G368" s="63"/>
      <c r="H368" s="63">
        <v>6544.96</v>
      </c>
      <c r="I368" s="56">
        <f>SUM(F368:H368)</f>
        <v>20453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154198.84</v>
      </c>
      <c r="G369" s="47">
        <f>SUM(G367:G368)</f>
        <v>0</v>
      </c>
      <c r="H369" s="47">
        <f>SUM(H367:H368)</f>
        <v>72564.160000000003</v>
      </c>
      <c r="I369" s="47">
        <f>SUM(I367:I368)</f>
        <v>226763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50000</v>
      </c>
      <c r="H390" s="18"/>
      <c r="I390" s="18"/>
      <c r="J390" s="24" t="s">
        <v>289</v>
      </c>
      <c r="K390" s="24" t="s">
        <v>289</v>
      </c>
      <c r="L390" s="56">
        <f t="shared" si="25"/>
        <v>50000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1337466.3600000001</v>
      </c>
      <c r="G442" s="18">
        <v>255432.92</v>
      </c>
      <c r="H442" s="18"/>
      <c r="I442" s="56">
        <f t="shared" si="33"/>
        <v>1592899.28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1337466.3600000001</v>
      </c>
      <c r="G446" s="13">
        <f>SUM(G439:G445)</f>
        <v>255432.92</v>
      </c>
      <c r="H446" s="13">
        <f>SUM(H439:H445)</f>
        <v>0</v>
      </c>
      <c r="I446" s="13">
        <f>SUM(I439:I445)</f>
        <v>1592899.28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1337466.3600000001</v>
      </c>
      <c r="G459" s="18">
        <v>255432.92</v>
      </c>
      <c r="H459" s="18"/>
      <c r="I459" s="56">
        <f t="shared" si="34"/>
        <v>1592899.28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1337466.3600000001</v>
      </c>
      <c r="G460" s="83">
        <f>SUM(G454:G459)</f>
        <v>255432.92</v>
      </c>
      <c r="H460" s="83">
        <f>SUM(H454:H459)</f>
        <v>0</v>
      </c>
      <c r="I460" s="83">
        <f>SUM(I454:I459)</f>
        <v>1592899.28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1337466.3600000001</v>
      </c>
      <c r="G461" s="42">
        <f>G452+G460</f>
        <v>255432.92</v>
      </c>
      <c r="H461" s="42">
        <f>H452+H460</f>
        <v>0</v>
      </c>
      <c r="I461" s="42">
        <f>I452+I460</f>
        <v>1592899.28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1289023.57</v>
      </c>
      <c r="G465" s="18">
        <v>37684.22</v>
      </c>
      <c r="H465" s="18">
        <v>0</v>
      </c>
      <c r="I465" s="18"/>
      <c r="J465" s="18">
        <v>1542899.28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15527520.359999999</v>
      </c>
      <c r="G468" s="18">
        <f>464805.91+48390.81</f>
        <v>513196.72</v>
      </c>
      <c r="H468" s="18">
        <v>1614098.74</v>
      </c>
      <c r="I468" s="18"/>
      <c r="J468" s="18">
        <v>50000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15527520.359999999</v>
      </c>
      <c r="G470" s="53">
        <f>SUM(G468:G469)</f>
        <v>513196.72</v>
      </c>
      <c r="H470" s="53">
        <f>SUM(H468:H469)</f>
        <v>1614098.74</v>
      </c>
      <c r="I470" s="53">
        <f>SUM(I468:I469)</f>
        <v>0</v>
      </c>
      <c r="J470" s="53">
        <f>SUM(J468:J469)</f>
        <v>50000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15722095+50000</f>
        <v>15772095</v>
      </c>
      <c r="G472" s="18">
        <v>550880.93999999994</v>
      </c>
      <c r="H472" s="18">
        <v>1513678.22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>
        <v>68667.83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15772095</v>
      </c>
      <c r="G474" s="53">
        <f>SUM(G472:G473)</f>
        <v>550880.93999999994</v>
      </c>
      <c r="H474" s="53">
        <f>SUM(H472:H473)</f>
        <v>1582346.05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1044448.9299999997</v>
      </c>
      <c r="G476" s="53">
        <f>(G465+G470)- G474</f>
        <v>0</v>
      </c>
      <c r="H476" s="53">
        <f>(H465+H470)- H474</f>
        <v>31752.689999999944</v>
      </c>
      <c r="I476" s="53">
        <f>(I465+I470)- I474</f>
        <v>0</v>
      </c>
      <c r="J476" s="53">
        <f>(J465+J470)- J474</f>
        <v>1592899.28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194488.72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155546.68</v>
      </c>
      <c r="G495" s="18"/>
      <c r="H495" s="18"/>
      <c r="I495" s="18"/>
      <c r="J495" s="18"/>
      <c r="K495" s="53">
        <f>SUM(F495:J495)</f>
        <v>155546.68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118188.97</v>
      </c>
      <c r="G498" s="204"/>
      <c r="H498" s="204"/>
      <c r="I498" s="204"/>
      <c r="J498" s="204"/>
      <c r="K498" s="205">
        <f t="shared" si="35"/>
        <v>118188.97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6390.74</v>
      </c>
      <c r="G499" s="18"/>
      <c r="H499" s="18"/>
      <c r="I499" s="18"/>
      <c r="J499" s="18"/>
      <c r="K499" s="53">
        <f t="shared" si="35"/>
        <v>6390.74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124579.71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124579.71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38359.11</v>
      </c>
      <c r="G501" s="204"/>
      <c r="H501" s="204"/>
      <c r="I501" s="204"/>
      <c r="J501" s="204"/>
      <c r="K501" s="205">
        <f t="shared" si="35"/>
        <v>38359.11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3167.46</v>
      </c>
      <c r="G502" s="18"/>
      <c r="H502" s="18"/>
      <c r="I502" s="18"/>
      <c r="J502" s="18"/>
      <c r="K502" s="53">
        <f t="shared" si="35"/>
        <v>3167.46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41526.57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41526.57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244695.5</v>
      </c>
      <c r="G521" s="18">
        <v>47145.73</v>
      </c>
      <c r="H521" s="18">
        <v>398411.7</v>
      </c>
      <c r="I521" s="18">
        <v>7645.7</v>
      </c>
      <c r="J521" s="18">
        <v>89.99</v>
      </c>
      <c r="K521" s="18"/>
      <c r="L521" s="88">
        <f>SUM(F521:K521)</f>
        <v>697988.61999999988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74516.789999999994</v>
      </c>
      <c r="G523" s="18">
        <v>17692.689999999999</v>
      </c>
      <c r="H523" s="18">
        <v>719950.18</v>
      </c>
      <c r="I523" s="18">
        <v>838.39</v>
      </c>
      <c r="J523" s="18">
        <v>313.27</v>
      </c>
      <c r="K523" s="18"/>
      <c r="L523" s="88">
        <f>SUM(F523:K523)</f>
        <v>813311.32000000007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319212.28999999998</v>
      </c>
      <c r="G524" s="108">
        <f t="shared" ref="G524:L524" si="36">SUM(G521:G523)</f>
        <v>64838.42</v>
      </c>
      <c r="H524" s="108">
        <f t="shared" si="36"/>
        <v>1118361.8800000001</v>
      </c>
      <c r="I524" s="108">
        <f t="shared" si="36"/>
        <v>8484.09</v>
      </c>
      <c r="J524" s="108">
        <f t="shared" si="36"/>
        <v>403.26</v>
      </c>
      <c r="K524" s="108">
        <f t="shared" si="36"/>
        <v>0</v>
      </c>
      <c r="L524" s="89">
        <f t="shared" si="36"/>
        <v>1511299.94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359407.87</v>
      </c>
      <c r="G526" s="18">
        <v>160453.76000000001</v>
      </c>
      <c r="H526" s="18">
        <v>106132.01</v>
      </c>
      <c r="I526" s="18">
        <v>7595.4</v>
      </c>
      <c r="J526" s="18"/>
      <c r="K526" s="18">
        <v>193.8</v>
      </c>
      <c r="L526" s="88">
        <f>SUM(F526:K526)</f>
        <v>633782.84000000008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169133.12</v>
      </c>
      <c r="G528" s="18">
        <v>75507.649999999994</v>
      </c>
      <c r="H528" s="18">
        <v>49944.47</v>
      </c>
      <c r="I528" s="18">
        <v>3574.3</v>
      </c>
      <c r="J528" s="18"/>
      <c r="K528" s="18">
        <v>91.2</v>
      </c>
      <c r="L528" s="88">
        <f>SUM(F528:K528)</f>
        <v>298250.74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528540.99</v>
      </c>
      <c r="G529" s="89">
        <f t="shared" ref="G529:L529" si="37">SUM(G526:G528)</f>
        <v>235961.41</v>
      </c>
      <c r="H529" s="89">
        <f t="shared" si="37"/>
        <v>156076.47999999998</v>
      </c>
      <c r="I529" s="89">
        <f t="shared" si="37"/>
        <v>11169.7</v>
      </c>
      <c r="J529" s="89">
        <f t="shared" si="37"/>
        <v>0</v>
      </c>
      <c r="K529" s="89">
        <f t="shared" si="37"/>
        <v>285</v>
      </c>
      <c r="L529" s="89">
        <f t="shared" si="37"/>
        <v>932033.58000000007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81820.899999999994</v>
      </c>
      <c r="G531" s="18">
        <v>31334.15</v>
      </c>
      <c r="H531" s="18"/>
      <c r="I531" s="18"/>
      <c r="J531" s="18"/>
      <c r="K531" s="18"/>
      <c r="L531" s="88">
        <f>SUM(F531:K531)</f>
        <v>113155.04999999999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38503.949999999997</v>
      </c>
      <c r="G533" s="18">
        <v>14745.48</v>
      </c>
      <c r="H533" s="18"/>
      <c r="I533" s="18"/>
      <c r="J533" s="18"/>
      <c r="K533" s="18"/>
      <c r="L533" s="88">
        <f>SUM(F533:K533)</f>
        <v>53249.429999999993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120324.84999999999</v>
      </c>
      <c r="G534" s="89">
        <f t="shared" ref="G534:L534" si="38">SUM(G531:G533)</f>
        <v>46079.630000000005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166404.47999999998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14471.82</v>
      </c>
      <c r="I536" s="18"/>
      <c r="J536" s="18"/>
      <c r="K536" s="18"/>
      <c r="L536" s="88">
        <f>SUM(F536:K536)</f>
        <v>14471.82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6810.28</v>
      </c>
      <c r="I538" s="18"/>
      <c r="J538" s="18"/>
      <c r="K538" s="18"/>
      <c r="L538" s="88">
        <f>SUM(F538:K538)</f>
        <v>6810.28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21282.1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21282.1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55169.05</v>
      </c>
      <c r="G541" s="18">
        <v>19324.28</v>
      </c>
      <c r="H541" s="18">
        <v>11273.09</v>
      </c>
      <c r="I541" s="18">
        <v>8419.92</v>
      </c>
      <c r="J541" s="18"/>
      <c r="K541" s="18"/>
      <c r="L541" s="88">
        <f>SUM(F541:K541)</f>
        <v>94186.34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25961.91</v>
      </c>
      <c r="G543" s="18">
        <v>9093.7800000000007</v>
      </c>
      <c r="H543" s="18">
        <v>5304.99</v>
      </c>
      <c r="I543" s="18">
        <v>3962.32</v>
      </c>
      <c r="J543" s="18"/>
      <c r="K543" s="18"/>
      <c r="L543" s="88">
        <f>SUM(F543:K543)</f>
        <v>44323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81130.960000000006</v>
      </c>
      <c r="G544" s="193">
        <f t="shared" ref="G544:L544" si="40">SUM(G541:G543)</f>
        <v>28418.059999999998</v>
      </c>
      <c r="H544" s="193">
        <f t="shared" si="40"/>
        <v>16578.080000000002</v>
      </c>
      <c r="I544" s="193">
        <f t="shared" si="40"/>
        <v>12382.24</v>
      </c>
      <c r="J544" s="193">
        <f t="shared" si="40"/>
        <v>0</v>
      </c>
      <c r="K544" s="193">
        <f t="shared" si="40"/>
        <v>0</v>
      </c>
      <c r="L544" s="193">
        <f t="shared" si="40"/>
        <v>138509.34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1049209.0900000001</v>
      </c>
      <c r="G545" s="89">
        <f t="shared" ref="G545:L545" si="41">G524+G529+G534+G539+G544</f>
        <v>375297.52</v>
      </c>
      <c r="H545" s="89">
        <f t="shared" si="41"/>
        <v>1312298.5400000003</v>
      </c>
      <c r="I545" s="89">
        <f t="shared" si="41"/>
        <v>32036.03</v>
      </c>
      <c r="J545" s="89">
        <f t="shared" si="41"/>
        <v>403.26</v>
      </c>
      <c r="K545" s="89">
        <f t="shared" si="41"/>
        <v>285</v>
      </c>
      <c r="L545" s="89">
        <f t="shared" si="41"/>
        <v>2769529.44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697988.61999999988</v>
      </c>
      <c r="G549" s="87">
        <f>L526</f>
        <v>633782.84000000008</v>
      </c>
      <c r="H549" s="87">
        <f>L531</f>
        <v>113155.04999999999</v>
      </c>
      <c r="I549" s="87">
        <f>L536</f>
        <v>14471.82</v>
      </c>
      <c r="J549" s="87">
        <f>L541</f>
        <v>94186.34</v>
      </c>
      <c r="K549" s="87">
        <f>SUM(F549:J549)</f>
        <v>1553584.6700000002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813311.32000000007</v>
      </c>
      <c r="G551" s="87">
        <f>L528</f>
        <v>298250.74</v>
      </c>
      <c r="H551" s="87">
        <f>L533</f>
        <v>53249.429999999993</v>
      </c>
      <c r="I551" s="87">
        <f>L538</f>
        <v>6810.28</v>
      </c>
      <c r="J551" s="87">
        <f>L543</f>
        <v>44323</v>
      </c>
      <c r="K551" s="87">
        <f>SUM(F551:J551)</f>
        <v>1215944.77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1511299.94</v>
      </c>
      <c r="G552" s="89">
        <f t="shared" si="42"/>
        <v>932033.58000000007</v>
      </c>
      <c r="H552" s="89">
        <f t="shared" si="42"/>
        <v>166404.47999999998</v>
      </c>
      <c r="I552" s="89">
        <f t="shared" si="42"/>
        <v>21282.1</v>
      </c>
      <c r="J552" s="89">
        <f t="shared" si="42"/>
        <v>138509.34</v>
      </c>
      <c r="K552" s="89">
        <f t="shared" si="42"/>
        <v>2769529.4400000004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38.08</v>
      </c>
      <c r="G557" s="18">
        <v>30.42</v>
      </c>
      <c r="H557" s="18">
        <v>238.51</v>
      </c>
      <c r="I557" s="18">
        <v>45.49</v>
      </c>
      <c r="J557" s="18"/>
      <c r="K557" s="18">
        <v>561</v>
      </c>
      <c r="L557" s="88">
        <f>SUM(F557:K557)</f>
        <v>913.5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17.920000000000002</v>
      </c>
      <c r="G559" s="18">
        <v>14.32</v>
      </c>
      <c r="H559" s="18">
        <v>112.24</v>
      </c>
      <c r="I559" s="18">
        <v>21.4</v>
      </c>
      <c r="J559" s="18"/>
      <c r="K559" s="18">
        <v>264</v>
      </c>
      <c r="L559" s="88">
        <f>SUM(F559:K559)</f>
        <v>429.88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56</v>
      </c>
      <c r="G560" s="108">
        <f t="shared" si="43"/>
        <v>44.74</v>
      </c>
      <c r="H560" s="108">
        <f t="shared" si="43"/>
        <v>350.75</v>
      </c>
      <c r="I560" s="108">
        <f t="shared" si="43"/>
        <v>66.89</v>
      </c>
      <c r="J560" s="108">
        <f t="shared" si="43"/>
        <v>0</v>
      </c>
      <c r="K560" s="108">
        <f t="shared" si="43"/>
        <v>825</v>
      </c>
      <c r="L560" s="89">
        <f t="shared" si="43"/>
        <v>1343.38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8313.44</v>
      </c>
      <c r="I562" s="18"/>
      <c r="J562" s="18"/>
      <c r="K562" s="18"/>
      <c r="L562" s="88">
        <f>SUM(F562:K562)</f>
        <v>8313.44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>
        <v>3912.44</v>
      </c>
      <c r="I564" s="18"/>
      <c r="J564" s="18"/>
      <c r="K564" s="18"/>
      <c r="L564" s="88">
        <f>SUM(F564:K564)</f>
        <v>3912.44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12225.880000000001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12225.880000000001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56</v>
      </c>
      <c r="G571" s="89">
        <f t="shared" ref="G571:L571" si="46">G560+G565+G570</f>
        <v>44.74</v>
      </c>
      <c r="H571" s="89">
        <f t="shared" si="46"/>
        <v>12576.630000000001</v>
      </c>
      <c r="I571" s="89">
        <f t="shared" si="46"/>
        <v>66.89</v>
      </c>
      <c r="J571" s="89">
        <f t="shared" si="46"/>
        <v>0</v>
      </c>
      <c r="K571" s="89">
        <f t="shared" si="46"/>
        <v>825</v>
      </c>
      <c r="L571" s="89">
        <f t="shared" si="46"/>
        <v>13569.260000000002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16929.97</v>
      </c>
      <c r="G579" s="18"/>
      <c r="H579" s="18">
        <v>67134.84</v>
      </c>
      <c r="I579" s="87">
        <f t="shared" si="47"/>
        <v>84064.81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9359.89+309326.5</f>
        <v>318686.39</v>
      </c>
      <c r="G582" s="18"/>
      <c r="H582" s="18">
        <v>593965.36</v>
      </c>
      <c r="I582" s="87">
        <f t="shared" si="47"/>
        <v>912651.75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115184.61</v>
      </c>
      <c r="I584" s="87">
        <f t="shared" si="47"/>
        <v>115184.61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>
        <v>4099</v>
      </c>
      <c r="I587" s="87">
        <f t="shared" si="47"/>
        <v>4099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202848.96</v>
      </c>
      <c r="I591" s="18"/>
      <c r="J591" s="18">
        <v>95458.33</v>
      </c>
      <c r="K591" s="104">
        <f t="shared" ref="K591:K597" si="48">SUM(H591:J591)</f>
        <v>298307.28999999998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94186.35</v>
      </c>
      <c r="I592" s="18"/>
      <c r="J592" s="18">
        <v>44322.99</v>
      </c>
      <c r="K592" s="104">
        <f t="shared" si="48"/>
        <v>138509.34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22629.18</v>
      </c>
      <c r="K593" s="104">
        <f t="shared" si="48"/>
        <v>22629.18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3488.38</v>
      </c>
      <c r="I594" s="18"/>
      <c r="J594" s="18">
        <v>13527.92</v>
      </c>
      <c r="K594" s="104">
        <f t="shared" si="48"/>
        <v>17016.3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246.07+1842.36</f>
        <v>2088.4299999999998</v>
      </c>
      <c r="I595" s="18"/>
      <c r="J595" s="18">
        <f>115.8+874.08</f>
        <v>989.88</v>
      </c>
      <c r="K595" s="104">
        <f t="shared" si="48"/>
        <v>3078.31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7561.92</v>
      </c>
      <c r="I596" s="18"/>
      <c r="J596" s="18">
        <v>3558.55</v>
      </c>
      <c r="K596" s="104">
        <f t="shared" si="48"/>
        <v>11120.470000000001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45106.99</v>
      </c>
      <c r="I597" s="18"/>
      <c r="J597" s="18">
        <v>21226.82</v>
      </c>
      <c r="K597" s="104">
        <f t="shared" si="48"/>
        <v>66333.81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355281.02999999997</v>
      </c>
      <c r="I598" s="108">
        <f>SUM(I591:I597)</f>
        <v>0</v>
      </c>
      <c r="J598" s="108">
        <f>SUM(J591:J597)</f>
        <v>201713.67</v>
      </c>
      <c r="K598" s="108">
        <f>SUM(K591:K597)</f>
        <v>556994.69999999995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356530.12</v>
      </c>
      <c r="I604" s="18"/>
      <c r="J604" s="18">
        <v>238918.51</v>
      </c>
      <c r="K604" s="104">
        <f>SUM(H604:J604)</f>
        <v>595448.63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356530.12</v>
      </c>
      <c r="I605" s="108">
        <f>SUM(I602:I604)</f>
        <v>0</v>
      </c>
      <c r="J605" s="108">
        <f>SUM(J602:J604)</f>
        <v>238918.51</v>
      </c>
      <c r="K605" s="108">
        <f>SUM(K602:K604)</f>
        <v>595448.63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3200591.28</v>
      </c>
      <c r="H617" s="109">
        <f>SUM(F52)</f>
        <v>3200591.28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81062.679999999993</v>
      </c>
      <c r="H618" s="109">
        <f>SUM(G52)</f>
        <v>81062.679999999993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203445.31</v>
      </c>
      <c r="H619" s="109">
        <f>SUM(H52)</f>
        <v>203445.31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1592899.28</v>
      </c>
      <c r="H621" s="109">
        <f>SUM(J52)</f>
        <v>1592899.28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1044448.93</v>
      </c>
      <c r="H622" s="109">
        <f>F476</f>
        <v>1044448.9299999997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31752.69</v>
      </c>
      <c r="H624" s="109">
        <f>H476</f>
        <v>31752.689999999944</v>
      </c>
      <c r="I624" s="121" t="s">
        <v>103</v>
      </c>
      <c r="J624" s="109">
        <f t="shared" si="50"/>
        <v>5.4569682106375694E-11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1592899.28</v>
      </c>
      <c r="H626" s="109">
        <f>J476</f>
        <v>1592899.28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15527520.359999998</v>
      </c>
      <c r="H627" s="104">
        <f>SUM(F468)</f>
        <v>15527520.359999999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513196.72000000003</v>
      </c>
      <c r="H628" s="104">
        <f>SUM(G468)</f>
        <v>513196.72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1614098.74</v>
      </c>
      <c r="H629" s="104">
        <f>SUM(H468)</f>
        <v>1614098.74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15772095.000000002</v>
      </c>
      <c r="H632" s="104">
        <f>SUM(F472)</f>
        <v>15772095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1513678.2200000002</v>
      </c>
      <c r="H633" s="104">
        <f>SUM(H472)</f>
        <v>1513678.22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226763</v>
      </c>
      <c r="H634" s="104">
        <f>I369</f>
        <v>226763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550880.93999999994</v>
      </c>
      <c r="H635" s="104">
        <f>SUM(G472)</f>
        <v>550880.93999999994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1337466.3600000001</v>
      </c>
      <c r="H639" s="104">
        <f>SUM(F461)</f>
        <v>1337466.3600000001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255432.92</v>
      </c>
      <c r="H640" s="104">
        <f>SUM(G461)</f>
        <v>255432.92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1592899.28</v>
      </c>
      <c r="H642" s="104">
        <f>SUM(I461)</f>
        <v>1592899.28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50000</v>
      </c>
      <c r="H646" s="104">
        <f>L408</f>
        <v>50000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556994.69999999995</v>
      </c>
      <c r="H647" s="104">
        <f>L208+L226+L244</f>
        <v>556994.69999999995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595448.63</v>
      </c>
      <c r="H648" s="104">
        <f>(J257+J338)-(J255+J336)</f>
        <v>595448.63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355281.03</v>
      </c>
      <c r="H649" s="104">
        <f>H598</f>
        <v>355281.02999999997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201713.66999999998</v>
      </c>
      <c r="H651" s="104">
        <f>J598</f>
        <v>201713.67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48390.81</v>
      </c>
      <c r="H652" s="104">
        <f>K263+K345</f>
        <v>48390.81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11417229.15</v>
      </c>
      <c r="G660" s="19">
        <f>(L229+L309+L359)</f>
        <v>0</v>
      </c>
      <c r="H660" s="19">
        <f>(L247+L328+L360)</f>
        <v>5928319.0900000008</v>
      </c>
      <c r="I660" s="19">
        <f>SUM(F660:H660)</f>
        <v>17345548.240000002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105815.10830524396</v>
      </c>
      <c r="G661" s="19">
        <f>(L359/IF(SUM(L358:L360)=0,1,SUM(L358:L360))*(SUM(G97:G110)))</f>
        <v>0</v>
      </c>
      <c r="H661" s="19">
        <f>(L360/IF(SUM(L358:L360)=0,1,SUM(L358:L360))*(SUM(G97:G110)))</f>
        <v>50992.721694756045</v>
      </c>
      <c r="I661" s="19">
        <f>SUM(F661:H661)</f>
        <v>156807.83000000002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338405.39000000007</v>
      </c>
      <c r="G662" s="19">
        <f>(L226+L306)-(J226+J306)</f>
        <v>0</v>
      </c>
      <c r="H662" s="19">
        <f>(L244+L325)-(J244+J325)</f>
        <v>190916.3</v>
      </c>
      <c r="I662" s="19">
        <f>SUM(F662:H662)</f>
        <v>529321.69000000006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692146.48</v>
      </c>
      <c r="G663" s="199">
        <f>SUM(G575:G587)+SUM(I602:I604)+L612</f>
        <v>0</v>
      </c>
      <c r="H663" s="199">
        <f>SUM(H575:H587)+SUM(J602:J604)+L613</f>
        <v>1019302.32</v>
      </c>
      <c r="I663" s="19">
        <f>SUM(F663:H663)</f>
        <v>1711448.7999999998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10280862.171694756</v>
      </c>
      <c r="G664" s="19">
        <f>G660-SUM(G661:G663)</f>
        <v>0</v>
      </c>
      <c r="H664" s="19">
        <f>H660-SUM(H661:H663)</f>
        <v>4667107.7483052444</v>
      </c>
      <c r="I664" s="19">
        <f>I660-SUM(I661:I663)</f>
        <v>14947969.920000002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797.62</v>
      </c>
      <c r="G665" s="248"/>
      <c r="H665" s="248">
        <v>371.38</v>
      </c>
      <c r="I665" s="19">
        <f>SUM(F665:H665)</f>
        <v>1169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12889.42</v>
      </c>
      <c r="G667" s="19" t="e">
        <f>ROUND(G664/G665,2)</f>
        <v>#DIV/0!</v>
      </c>
      <c r="H667" s="19">
        <f>ROUND(H664/H665,2)</f>
        <v>12566.93</v>
      </c>
      <c r="I667" s="19">
        <f>ROUND(I664/I665,2)</f>
        <v>12786.97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-10.06</v>
      </c>
      <c r="I670" s="19">
        <f>SUM(F670:H670)</f>
        <v>-10.06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12889.42</v>
      </c>
      <c r="G672" s="19" t="e">
        <f>ROUND((G664+G669)/(G665+G670),2)</f>
        <v>#DIV/0!</v>
      </c>
      <c r="H672" s="19">
        <f>ROUND((H664+H669)/(H665+H670),2)</f>
        <v>12916.83</v>
      </c>
      <c r="I672" s="19">
        <f>ROUND((I664+I669)/(I665+I670),2)</f>
        <v>12897.97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FARMINGTON 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3929754.73</v>
      </c>
      <c r="C9" s="229">
        <f>'DOE25'!G197+'DOE25'!G215+'DOE25'!G233+'DOE25'!G276+'DOE25'!G295+'DOE25'!G314</f>
        <v>1651311.6099999999</v>
      </c>
    </row>
    <row r="10" spans="1:3" x14ac:dyDescent="0.2">
      <c r="A10" t="s">
        <v>779</v>
      </c>
      <c r="B10" s="240">
        <f>3472678.74+120036.18+88209.3+22407.28+90448.41</f>
        <v>3793779.91</v>
      </c>
      <c r="C10" s="240">
        <f>1030409.22+551377.6</f>
        <v>1581786.8199999998</v>
      </c>
    </row>
    <row r="11" spans="1:3" x14ac:dyDescent="0.2">
      <c r="A11" t="s">
        <v>780</v>
      </c>
      <c r="B11" s="240">
        <f>43515.17+58614.76</f>
        <v>102129.93</v>
      </c>
      <c r="C11" s="240">
        <v>12507.35</v>
      </c>
    </row>
    <row r="12" spans="1:3" x14ac:dyDescent="0.2">
      <c r="A12" t="s">
        <v>781</v>
      </c>
      <c r="B12" s="240">
        <f>1101.93+17753+14989.96</f>
        <v>33844.89</v>
      </c>
      <c r="C12" s="240">
        <f>12482.77+4055.16+4922.82+35556.69</f>
        <v>57017.440000000002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3929754.7300000004</v>
      </c>
      <c r="C13" s="231">
        <f>SUM(C10:C12)</f>
        <v>1651311.6099999999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1763520.5000000002</v>
      </c>
      <c r="C18" s="229">
        <f>'DOE25'!G198+'DOE25'!G216+'DOE25'!G234+'DOE25'!G277+'DOE25'!G296+'DOE25'!G315</f>
        <v>418412.14999999997</v>
      </c>
    </row>
    <row r="19" spans="1:3" x14ac:dyDescent="0.2">
      <c r="A19" t="s">
        <v>779</v>
      </c>
      <c r="B19" s="240">
        <f>779168.33+45279.36+56</f>
        <v>824503.69</v>
      </c>
      <c r="C19" s="240">
        <v>346577.37</v>
      </c>
    </row>
    <row r="20" spans="1:3" x14ac:dyDescent="0.2">
      <c r="A20" t="s">
        <v>780</v>
      </c>
      <c r="B20" s="240">
        <f>43034.79+876263.52</f>
        <v>919298.31</v>
      </c>
      <c r="C20" s="240">
        <v>70326.320000000007</v>
      </c>
    </row>
    <row r="21" spans="1:3" x14ac:dyDescent="0.2">
      <c r="A21" t="s">
        <v>781</v>
      </c>
      <c r="B21" s="240">
        <f>8618.5+11100</f>
        <v>19718.5</v>
      </c>
      <c r="C21" s="240">
        <v>1508.46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1763520.5</v>
      </c>
      <c r="C22" s="231">
        <f>SUM(C19:C21)</f>
        <v>418412.15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213652.59</v>
      </c>
      <c r="C36" s="235">
        <f>'DOE25'!G200+'DOE25'!G218+'DOE25'!G236+'DOE25'!G279+'DOE25'!G298+'DOE25'!G317</f>
        <v>65965.710000000006</v>
      </c>
    </row>
    <row r="37" spans="1:3" x14ac:dyDescent="0.2">
      <c r="A37" t="s">
        <v>779</v>
      </c>
      <c r="B37" s="240">
        <f>112609.34+18864</f>
        <v>131473.34</v>
      </c>
      <c r="C37" s="240">
        <f>3112.2+48452.28+412.71</f>
        <v>51977.189999999995</v>
      </c>
    </row>
    <row r="38" spans="1:3" x14ac:dyDescent="0.2">
      <c r="A38" t="s">
        <v>780</v>
      </c>
      <c r="B38" s="240">
        <v>9188</v>
      </c>
      <c r="C38" s="240">
        <f>2104.29</f>
        <v>2104.29</v>
      </c>
    </row>
    <row r="39" spans="1:3" x14ac:dyDescent="0.2">
      <c r="A39" t="s">
        <v>781</v>
      </c>
      <c r="B39" s="240">
        <f>1750+34316+35085.25+1840</f>
        <v>72991.25</v>
      </c>
      <c r="C39" s="240">
        <f>145.16+7019.83+4719.24</f>
        <v>11884.23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213652.59</v>
      </c>
      <c r="C40" s="231">
        <f>SUM(C37:C39)</f>
        <v>65965.709999999992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 xml:space="preserve">FARMINGTON 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9236597.6600000001</v>
      </c>
      <c r="D5" s="20">
        <f>SUM('DOE25'!L197:L200)+SUM('DOE25'!L215:L218)+SUM('DOE25'!L233:L236)-F5-G5</f>
        <v>9196073.3200000003</v>
      </c>
      <c r="E5" s="243"/>
      <c r="F5" s="255">
        <f>SUM('DOE25'!J197:J200)+SUM('DOE25'!J215:J218)+SUM('DOE25'!J233:J236)</f>
        <v>31019.449999999997</v>
      </c>
      <c r="G5" s="53">
        <f>SUM('DOE25'!K197:K200)+SUM('DOE25'!K215:K218)+SUM('DOE25'!K233:K236)</f>
        <v>9504.89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1358942.27</v>
      </c>
      <c r="D6" s="20">
        <f>'DOE25'!L202+'DOE25'!L220+'DOE25'!L238-F6-G6</f>
        <v>1358150.27</v>
      </c>
      <c r="E6" s="243"/>
      <c r="F6" s="255">
        <f>'DOE25'!J202+'DOE25'!J220+'DOE25'!J238</f>
        <v>0</v>
      </c>
      <c r="G6" s="53">
        <f>'DOE25'!K202+'DOE25'!K220+'DOE25'!K238</f>
        <v>792</v>
      </c>
      <c r="H6" s="259"/>
    </row>
    <row r="7" spans="1:9" x14ac:dyDescent="0.2">
      <c r="A7" s="32">
        <v>2200</v>
      </c>
      <c r="B7" t="s">
        <v>834</v>
      </c>
      <c r="C7" s="245">
        <f t="shared" si="0"/>
        <v>343586.30000000005</v>
      </c>
      <c r="D7" s="20">
        <f>'DOE25'!L203+'DOE25'!L221+'DOE25'!L239-F7-G7</f>
        <v>341060.75000000006</v>
      </c>
      <c r="E7" s="243"/>
      <c r="F7" s="255">
        <f>'DOE25'!J203+'DOE25'!J221+'DOE25'!J239</f>
        <v>0</v>
      </c>
      <c r="G7" s="53">
        <f>'DOE25'!K203+'DOE25'!K221+'DOE25'!K239</f>
        <v>2525.5500000000002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441902.7900000001</v>
      </c>
      <c r="D8" s="243"/>
      <c r="E8" s="20">
        <f>'DOE25'!L204+'DOE25'!L222+'DOE25'!L240-F8-G8-D9-D11</f>
        <v>436495.35000000009</v>
      </c>
      <c r="F8" s="255">
        <f>'DOE25'!J204+'DOE25'!J222+'DOE25'!J240</f>
        <v>0</v>
      </c>
      <c r="G8" s="53">
        <f>'DOE25'!K204+'DOE25'!K222+'DOE25'!K240</f>
        <v>5407.4400000000005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180674.13</v>
      </c>
      <c r="D9" s="244">
        <v>180674.13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20000</v>
      </c>
      <c r="D10" s="243"/>
      <c r="E10" s="244">
        <v>20000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407527.11</v>
      </c>
      <c r="D11" s="244">
        <v>407527.11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1038372.53</v>
      </c>
      <c r="D12" s="20">
        <f>'DOE25'!L205+'DOE25'!L223+'DOE25'!L241-F12-G12</f>
        <v>1026489.76</v>
      </c>
      <c r="E12" s="243"/>
      <c r="F12" s="255">
        <f>'DOE25'!J205+'DOE25'!J223+'DOE25'!J241</f>
        <v>612.26</v>
      </c>
      <c r="G12" s="53">
        <f>'DOE25'!K205+'DOE25'!K223+'DOE25'!K241</f>
        <v>11270.51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468.71000000000004</v>
      </c>
      <c r="D13" s="243"/>
      <c r="E13" s="20">
        <f>'DOE25'!L206+'DOE25'!L224+'DOE25'!L242-F13-G13</f>
        <v>130.00000000000006</v>
      </c>
      <c r="F13" s="255">
        <f>'DOE25'!J206+'DOE25'!J224+'DOE25'!J242</f>
        <v>0</v>
      </c>
      <c r="G13" s="53">
        <f>'DOE25'!K206+'DOE25'!K224+'DOE25'!K242</f>
        <v>338.71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1485657.2000000002</v>
      </c>
      <c r="D14" s="20">
        <f>'DOE25'!L207+'DOE25'!L225+'DOE25'!L243-F14-G14</f>
        <v>1404941.0000000002</v>
      </c>
      <c r="E14" s="243"/>
      <c r="F14" s="255">
        <f>'DOE25'!J207+'DOE25'!J225+'DOE25'!J243</f>
        <v>79872.2</v>
      </c>
      <c r="G14" s="53">
        <f>'DOE25'!K207+'DOE25'!K225+'DOE25'!K243</f>
        <v>844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556994.69999999995</v>
      </c>
      <c r="D15" s="20">
        <f>'DOE25'!L208+'DOE25'!L226+'DOE25'!L244-F15-G15</f>
        <v>521239.91999999993</v>
      </c>
      <c r="E15" s="243"/>
      <c r="F15" s="255">
        <f>'DOE25'!J208+'DOE25'!J226+'DOE25'!J244</f>
        <v>33741.78</v>
      </c>
      <c r="G15" s="53">
        <f>'DOE25'!K208+'DOE25'!K226+'DOE25'!K244</f>
        <v>2013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412110.79</v>
      </c>
      <c r="D16" s="243"/>
      <c r="E16" s="20">
        <f>'DOE25'!L209+'DOE25'!L227+'DOE25'!L245-F16-G16</f>
        <v>264147.42</v>
      </c>
      <c r="F16" s="255">
        <f>'DOE25'!J209+'DOE25'!J227+'DOE25'!J245</f>
        <v>147963.37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210870</v>
      </c>
      <c r="D22" s="243"/>
      <c r="E22" s="243"/>
      <c r="F22" s="255">
        <f>'DOE25'!L255+'DOE25'!L336</f>
        <v>210870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344570.93999999994</v>
      </c>
      <c r="D29" s="20">
        <f>'DOE25'!L358+'DOE25'!L359+'DOE25'!L360-'DOE25'!I367-F29-G29</f>
        <v>344570.93999999994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1430969.4300000002</v>
      </c>
      <c r="D31" s="20">
        <f>'DOE25'!L290+'DOE25'!L309+'DOE25'!L328+'DOE25'!L333+'DOE25'!L334+'DOE25'!L335-F31-G31</f>
        <v>1109473.57</v>
      </c>
      <c r="E31" s="243"/>
      <c r="F31" s="255">
        <f>'DOE25'!J290+'DOE25'!J309+'DOE25'!J328+'DOE25'!J333+'DOE25'!J334+'DOE25'!J335</f>
        <v>302239.57</v>
      </c>
      <c r="G31" s="53">
        <f>'DOE25'!K290+'DOE25'!K309+'DOE25'!K328+'DOE25'!K333+'DOE25'!K334+'DOE25'!K335</f>
        <v>19256.29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15890200.77</v>
      </c>
      <c r="E33" s="246">
        <f>SUM(E5:E31)</f>
        <v>720772.77</v>
      </c>
      <c r="F33" s="246">
        <f>SUM(F5:F31)</f>
        <v>806318.63</v>
      </c>
      <c r="G33" s="246">
        <f>SUM(G5:G31)</f>
        <v>51952.39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720772.77</v>
      </c>
      <c r="E35" s="249"/>
    </row>
    <row r="36" spans="2:8" ht="12" thickTop="1" x14ac:dyDescent="0.2">
      <c r="B36" t="s">
        <v>815</v>
      </c>
      <c r="D36" s="20">
        <f>D33</f>
        <v>15890200.77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FARMINGTON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2292778.67</v>
      </c>
      <c r="D8" s="95">
        <f>'DOE25'!G9</f>
        <v>8021.69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353121.4</v>
      </c>
      <c r="D11" s="95">
        <f>'DOE25'!G12</f>
        <v>8057.6500000000005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550000</v>
      </c>
      <c r="D12" s="95">
        <f>'DOE25'!G13</f>
        <v>64983.34</v>
      </c>
      <c r="E12" s="95">
        <f>'DOE25'!H13</f>
        <v>203445.31</v>
      </c>
      <c r="F12" s="95">
        <f>'DOE25'!I13</f>
        <v>0</v>
      </c>
      <c r="G12" s="95">
        <f>'DOE25'!J13</f>
        <v>1592899.28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4691.21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3200591.28</v>
      </c>
      <c r="D18" s="41">
        <f>SUM(D8:D17)</f>
        <v>81062.679999999993</v>
      </c>
      <c r="E18" s="41">
        <f>SUM(E8:E17)</f>
        <v>203445.31</v>
      </c>
      <c r="F18" s="41">
        <f>SUM(F8:F17)</f>
        <v>0</v>
      </c>
      <c r="G18" s="41">
        <f>SUM(G8:G17)</f>
        <v>1592899.28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50000</v>
      </c>
      <c r="D21" s="95">
        <f>'DOE25'!G22</f>
        <v>34606.79</v>
      </c>
      <c r="E21" s="95">
        <f>'DOE25'!H22</f>
        <v>138820.79999999999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765334.91999999993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415768.47</v>
      </c>
      <c r="D23" s="95">
        <f>'DOE25'!G24</f>
        <v>43036.35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451547.42</v>
      </c>
      <c r="D27" s="95">
        <f>'DOE25'!G28</f>
        <v>0</v>
      </c>
      <c r="E27" s="95">
        <f>'DOE25'!H28</f>
        <v>32871.82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473491.54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3419.54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2156142.3499999996</v>
      </c>
      <c r="D31" s="41">
        <f>SUM(D21:D30)</f>
        <v>81062.679999999993</v>
      </c>
      <c r="E31" s="41">
        <f>SUM(E21:E30)</f>
        <v>171692.62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 t="e">
        <f>'DOE25'!#REF!</f>
        <v>#REF!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'DOE25'!F45</f>
        <v>485251.54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31752.69</v>
      </c>
      <c r="F47" s="95">
        <f>'DOE25'!I48</f>
        <v>0</v>
      </c>
      <c r="G47" s="95">
        <f>'DOE25'!J48</f>
        <v>1592899.28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509197.39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 t="e">
        <f>SUM(C34:C49)</f>
        <v>#REF!</v>
      </c>
      <c r="D50" s="41">
        <f>SUM(D34:D49)</f>
        <v>0</v>
      </c>
      <c r="E50" s="41">
        <f>SUM(E34:E49)</f>
        <v>31752.69</v>
      </c>
      <c r="F50" s="41">
        <f>SUM(F34:F49)</f>
        <v>0</v>
      </c>
      <c r="G50" s="41">
        <f>SUM(G34:G49)</f>
        <v>1592899.28</v>
      </c>
      <c r="H50" s="124"/>
      <c r="I50" s="124"/>
    </row>
    <row r="51" spans="1:9" ht="12" thickTop="1" x14ac:dyDescent="0.2">
      <c r="A51" s="38" t="s">
        <v>901</v>
      </c>
      <c r="B51" s="2"/>
      <c r="C51" s="41" t="e">
        <f>C50+C31</f>
        <v>#REF!</v>
      </c>
      <c r="D51" s="41">
        <f>D50+D31</f>
        <v>81062.679999999993</v>
      </c>
      <c r="E51" s="41">
        <f>E50+E31</f>
        <v>203445.31</v>
      </c>
      <c r="F51" s="41">
        <f>F50+F31</f>
        <v>0</v>
      </c>
      <c r="G51" s="41">
        <f>G50+G31</f>
        <v>1592899.28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5247875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2481814.59</v>
      </c>
      <c r="D57" s="24" t="s">
        <v>289</v>
      </c>
      <c r="E57" s="95">
        <f>'DOE25'!H79</f>
        <v>11230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15930.29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'DOE25'!G97</f>
        <v>156807.82999999999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 t="e">
        <f>'DOE25'!#REF!</f>
        <v>#REF!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51603.01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2549347.8899999997</v>
      </c>
      <c r="D62" s="130" t="e">
        <f>SUM(D57:D61)</f>
        <v>#REF!</v>
      </c>
      <c r="E62" s="130">
        <f>SUM(E57:E61)</f>
        <v>11230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7797222.8899999997</v>
      </c>
      <c r="D63" s="22" t="e">
        <f>D56+D62</f>
        <v>#REF!</v>
      </c>
      <c r="E63" s="22">
        <f>E56+E62</f>
        <v>11230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6055763.5800000001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1047703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7103466.5800000001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143079.57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19271.2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6947.58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162350.77000000002</v>
      </c>
      <c r="D78" s="130">
        <f>SUM(D72:D77)</f>
        <v>6947.58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22061.360000000001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7265817.3499999996</v>
      </c>
      <c r="D81" s="130">
        <f>SUM(D79:D80)+D78+D70</f>
        <v>6947.58</v>
      </c>
      <c r="E81" s="130">
        <f>SUM(E79:E80)+E78+E70</f>
        <v>22061.360000000001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26804.79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109239.69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226805.33</v>
      </c>
      <c r="D88" s="95">
        <f>SUM('DOE25'!G153:G161)</f>
        <v>301050.50000000006</v>
      </c>
      <c r="E88" s="95">
        <f>SUM('DOE25'!H153:H161)</f>
        <v>1471567.69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253610.12</v>
      </c>
      <c r="D91" s="131">
        <f>SUM(D85:D90)</f>
        <v>301050.50000000006</v>
      </c>
      <c r="E91" s="131">
        <f>SUM(E85:E90)</f>
        <v>1580807.38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48390.81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210870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210870</v>
      </c>
      <c r="D103" s="86">
        <f>SUM(D93:D102)</f>
        <v>48390.81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15527520.359999998</v>
      </c>
      <c r="D104" s="86" t="e">
        <f>D63+D81+D91+D103</f>
        <v>#REF!</v>
      </c>
      <c r="E104" s="86">
        <f>E63+E81+E91+E103</f>
        <v>1614098.74</v>
      </c>
      <c r="F104" s="86">
        <f>F63+F81+F91+F103</f>
        <v>0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5474972.5800000001</v>
      </c>
      <c r="D109" s="24" t="s">
        <v>289</v>
      </c>
      <c r="E109" s="95">
        <f>('DOE25'!L276)+('DOE25'!L295)+('DOE25'!L314)</f>
        <v>815488.89999999991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3330175.44</v>
      </c>
      <c r="D110" s="24" t="s">
        <v>289</v>
      </c>
      <c r="E110" s="95">
        <f>('DOE25'!L277)+('DOE25'!L296)+('DOE25'!L315)</f>
        <v>50102.579999999994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115184.61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316265.03000000003</v>
      </c>
      <c r="D112" s="24" t="s">
        <v>289</v>
      </c>
      <c r="E112" s="95">
        <f>+('DOE25'!L279)+('DOE25'!L298)+('DOE25'!L317)</f>
        <v>24115.3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99136.319999999992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9236597.6599999983</v>
      </c>
      <c r="D115" s="86">
        <f>SUM(D109:D114)</f>
        <v>0</v>
      </c>
      <c r="E115" s="86">
        <f>SUM(E109:E114)</f>
        <v>988843.09999999986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1358942.27</v>
      </c>
      <c r="D118" s="24" t="s">
        <v>289</v>
      </c>
      <c r="E118" s="95">
        <f>+('DOE25'!L281)+('DOE25'!L300)+('DOE25'!L319)</f>
        <v>76937.47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343586.30000000005</v>
      </c>
      <c r="D119" s="24" t="s">
        <v>289</v>
      </c>
      <c r="E119" s="95">
        <f>+('DOE25'!L282)+('DOE25'!L301)+('DOE25'!L320)</f>
        <v>193442.47000000003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1030104.03</v>
      </c>
      <c r="D120" s="24" t="s">
        <v>289</v>
      </c>
      <c r="E120" s="95">
        <f>+('DOE25'!L283)+('DOE25'!L302)+('DOE25'!L321)</f>
        <v>165677.62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1038372.53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468.71000000000004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1485657.2000000002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556994.69999999995</v>
      </c>
      <c r="D124" s="24" t="s">
        <v>289</v>
      </c>
      <c r="E124" s="95">
        <f>+('DOE25'!L287)+('DOE25'!L306)+('DOE25'!L325)</f>
        <v>6068.7699999999995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412110.79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550880.93999999994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6226236.5300000003</v>
      </c>
      <c r="D128" s="86">
        <f>SUM(D118:D127)</f>
        <v>550880.93999999994</v>
      </c>
      <c r="E128" s="86">
        <f>SUM(E118:E127)</f>
        <v>442126.33000000007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210870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82708.789999999994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48390.81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309260.81</v>
      </c>
      <c r="D144" s="141">
        <f>SUM(D130:D143)</f>
        <v>0</v>
      </c>
      <c r="E144" s="141">
        <f>SUM(E130:E143)</f>
        <v>82708.789999999994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15772094.999999998</v>
      </c>
      <c r="D145" s="86">
        <f>(D115+D128+D144)</f>
        <v>550880.93999999994</v>
      </c>
      <c r="E145" s="86">
        <f>(E115+E128+E144)</f>
        <v>1513678.22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194488.72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155546.68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155546.68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118188.97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118188.97</v>
      </c>
    </row>
    <row r="160" spans="1:9" x14ac:dyDescent="0.2">
      <c r="A160" s="22" t="s">
        <v>36</v>
      </c>
      <c r="B160" s="137">
        <f>'DOE25'!F499</f>
        <v>6390.74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6390.74</v>
      </c>
    </row>
    <row r="161" spans="1:7" x14ac:dyDescent="0.2">
      <c r="A161" s="22" t="s">
        <v>37</v>
      </c>
      <c r="B161" s="137">
        <f>'DOE25'!F500</f>
        <v>124579.71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124579.71</v>
      </c>
    </row>
    <row r="162" spans="1:7" x14ac:dyDescent="0.2">
      <c r="A162" s="22" t="s">
        <v>38</v>
      </c>
      <c r="B162" s="137">
        <f>'DOE25'!F501</f>
        <v>38359.11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38359.11</v>
      </c>
    </row>
    <row r="163" spans="1:7" x14ac:dyDescent="0.2">
      <c r="A163" s="22" t="s">
        <v>39</v>
      </c>
      <c r="B163" s="137">
        <f>'DOE25'!F502</f>
        <v>3167.46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3167.46</v>
      </c>
    </row>
    <row r="164" spans="1:7" x14ac:dyDescent="0.2">
      <c r="A164" s="22" t="s">
        <v>246</v>
      </c>
      <c r="B164" s="137">
        <f>'DOE25'!F503</f>
        <v>41526.57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41526.57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 xml:space="preserve">FARMINGTON 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12889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12917</v>
      </c>
    </row>
    <row r="7" spans="1:4" x14ac:dyDescent="0.2">
      <c r="B7" t="s">
        <v>705</v>
      </c>
      <c r="C7" s="179">
        <f>IF('DOE25'!I665+'DOE25'!I670=0,0,ROUND('DOE25'!I672,0))</f>
        <v>12898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6290461</v>
      </c>
      <c r="D10" s="182">
        <f>ROUND((C10/$C$28)*100,1)</f>
        <v>36.4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3380278</v>
      </c>
      <c r="D11" s="182">
        <f>ROUND((C11/$C$28)*100,1)</f>
        <v>19.600000000000001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115185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340380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1435880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537029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1607892</v>
      </c>
      <c r="D17" s="182">
        <f t="shared" si="0"/>
        <v>9.3000000000000007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1038373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469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1485657</v>
      </c>
      <c r="D20" s="182">
        <f t="shared" si="0"/>
        <v>8.6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563063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99136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394073.17000000004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17287876.170000002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210870</v>
      </c>
    </row>
    <row r="30" spans="1:4" x14ac:dyDescent="0.2">
      <c r="B30" s="187" t="s">
        <v>729</v>
      </c>
      <c r="C30" s="180">
        <f>SUM(C28:C29)</f>
        <v>17498746.170000002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5247875</v>
      </c>
      <c r="D35" s="182">
        <f t="shared" ref="D35:D40" si="1">ROUND((C35/$C$41)*100,1)</f>
        <v>30.4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2560577.8899999997</v>
      </c>
      <c r="D36" s="182">
        <f t="shared" si="1"/>
        <v>14.9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7103467</v>
      </c>
      <c r="D37" s="182">
        <f t="shared" si="1"/>
        <v>41.2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191360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2135468</v>
      </c>
      <c r="D39" s="182">
        <f t="shared" si="1"/>
        <v>12.4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17238747.890000001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 xml:space="preserve">FARMINGTON 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2015-11-05T13:05:42Z</cp:lastPrinted>
  <dcterms:created xsi:type="dcterms:W3CDTF">1997-12-04T19:04:30Z</dcterms:created>
  <dcterms:modified xsi:type="dcterms:W3CDTF">2015-11-25T16:11:28Z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