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30A" lockStructure="1"/>
  <bookViews>
    <workbookView xWindow="0" yWindow="0" windowWidth="19200" windowHeight="1153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G236" i="1" l="1"/>
  <c r="G200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G649" i="1" s="1"/>
  <c r="L226" i="1"/>
  <c r="G650" i="1" s="1"/>
  <c r="L244" i="1"/>
  <c r="G651" i="1" s="1"/>
  <c r="F17" i="13"/>
  <c r="G17" i="13"/>
  <c r="L251" i="1"/>
  <c r="F18" i="13"/>
  <c r="G18" i="13"/>
  <c r="L252" i="1"/>
  <c r="D18" i="13" s="1"/>
  <c r="C18" i="13" s="1"/>
  <c r="F19" i="13"/>
  <c r="G19" i="13"/>
  <c r="L253" i="1"/>
  <c r="F29" i="13"/>
  <c r="G29" i="13"/>
  <c r="L358" i="1"/>
  <c r="L359" i="1"/>
  <c r="L360" i="1"/>
  <c r="I367" i="1"/>
  <c r="I369" i="1" s="1"/>
  <c r="H634" i="1" s="1"/>
  <c r="J290" i="1"/>
  <c r="J309" i="1"/>
  <c r="J328" i="1"/>
  <c r="K290" i="1"/>
  <c r="K309" i="1"/>
  <c r="K328" i="1"/>
  <c r="L276" i="1"/>
  <c r="L277" i="1"/>
  <c r="L278" i="1"/>
  <c r="L279" i="1"/>
  <c r="L281" i="1"/>
  <c r="L282" i="1"/>
  <c r="E119" i="2" s="1"/>
  <c r="L283" i="1"/>
  <c r="E120" i="2" s="1"/>
  <c r="L284" i="1"/>
  <c r="E121" i="2" s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8" i="1" s="1"/>
  <c r="L324" i="1"/>
  <c r="L325" i="1"/>
  <c r="L326" i="1"/>
  <c r="L333" i="1"/>
  <c r="L334" i="1"/>
  <c r="E114" i="2" s="1"/>
  <c r="L335" i="1"/>
  <c r="L260" i="1"/>
  <c r="C32" i="10" s="1"/>
  <c r="L261" i="1"/>
  <c r="C132" i="2" s="1"/>
  <c r="L341" i="1"/>
  <c r="E131" i="2" s="1"/>
  <c r="L342" i="1"/>
  <c r="E132" i="2" s="1"/>
  <c r="L255" i="1"/>
  <c r="L336" i="1"/>
  <c r="E130" i="2" s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1" i="1" s="1"/>
  <c r="C139" i="2" s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E56" i="2" s="1"/>
  <c r="I60" i="1"/>
  <c r="F79" i="1"/>
  <c r="C57" i="2" s="1"/>
  <c r="F94" i="1"/>
  <c r="F111" i="1"/>
  <c r="G111" i="1"/>
  <c r="G112" i="1" s="1"/>
  <c r="H79" i="1"/>
  <c r="E57" i="2" s="1"/>
  <c r="H94" i="1"/>
  <c r="E58" i="2" s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J140" i="1" s="1"/>
  <c r="F147" i="1"/>
  <c r="F162" i="1"/>
  <c r="G147" i="1"/>
  <c r="G162" i="1"/>
  <c r="H147" i="1"/>
  <c r="H162" i="1"/>
  <c r="I147" i="1"/>
  <c r="I162" i="1"/>
  <c r="C21" i="10"/>
  <c r="L250" i="1"/>
  <c r="C113" i="2" s="1"/>
  <c r="L332" i="1"/>
  <c r="E113" i="2" s="1"/>
  <c r="L254" i="1"/>
  <c r="L268" i="1"/>
  <c r="C142" i="2" s="1"/>
  <c r="L269" i="1"/>
  <c r="C143" i="2" s="1"/>
  <c r="L349" i="1"/>
  <c r="E142" i="2" s="1"/>
  <c r="L350" i="1"/>
  <c r="E143" i="2" s="1"/>
  <c r="I665" i="1"/>
  <c r="I670" i="1"/>
  <c r="F662" i="1"/>
  <c r="G662" i="1"/>
  <c r="H662" i="1"/>
  <c r="I669" i="1"/>
  <c r="C42" i="10"/>
  <c r="L374" i="1"/>
  <c r="F130" i="2" s="1"/>
  <c r="L375" i="1"/>
  <c r="L376" i="1"/>
  <c r="L377" i="1"/>
  <c r="L378" i="1"/>
  <c r="L379" i="1"/>
  <c r="L380" i="1"/>
  <c r="B2" i="10"/>
  <c r="L344" i="1"/>
  <c r="E134" i="2" s="1"/>
  <c r="L345" i="1"/>
  <c r="E135" i="2" s="1"/>
  <c r="L346" i="1"/>
  <c r="E137" i="2" s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K270" i="1"/>
  <c r="J270" i="1"/>
  <c r="I270" i="1"/>
  <c r="H270" i="1"/>
  <c r="G270" i="1"/>
  <c r="F270" i="1"/>
  <c r="L270" i="1" s="1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F18" i="2" s="1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E31" i="2" s="1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G36" i="2" s="1"/>
  <c r="I459" i="1"/>
  <c r="J48" i="1" s="1"/>
  <c r="G47" i="2" s="1"/>
  <c r="C49" i="2"/>
  <c r="D56" i="2"/>
  <c r="F56" i="2"/>
  <c r="C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E78" i="2" s="1"/>
  <c r="E81" i="2" s="1"/>
  <c r="F77" i="2"/>
  <c r="G77" i="2"/>
  <c r="G78" i="2" s="1"/>
  <c r="G81" i="2" s="1"/>
  <c r="C79" i="2"/>
  <c r="D79" i="2"/>
  <c r="E79" i="2"/>
  <c r="C80" i="2"/>
  <c r="E80" i="2"/>
  <c r="D85" i="2"/>
  <c r="E85" i="2"/>
  <c r="F85" i="2"/>
  <c r="C87" i="2"/>
  <c r="E87" i="2"/>
  <c r="F87" i="2"/>
  <c r="C88" i="2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E103" i="2" s="1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E110" i="2"/>
  <c r="E111" i="2"/>
  <c r="E112" i="2"/>
  <c r="D115" i="2"/>
  <c r="F115" i="2"/>
  <c r="G115" i="2"/>
  <c r="E123" i="2"/>
  <c r="C124" i="2"/>
  <c r="E124" i="2"/>
  <c r="E125" i="2"/>
  <c r="F128" i="2"/>
  <c r="G128" i="2"/>
  <c r="D134" i="2"/>
  <c r="D144" i="2" s="1"/>
  <c r="F134" i="2"/>
  <c r="K419" i="1"/>
  <c r="K427" i="1"/>
  <c r="K433" i="1"/>
  <c r="L263" i="1"/>
  <c r="C135" i="2" s="1"/>
  <c r="L264" i="1"/>
  <c r="C136" i="2" s="1"/>
  <c r="L265" i="1"/>
  <c r="C137" i="2" s="1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F32" i="1"/>
  <c r="F52" i="1" s="1"/>
  <c r="H617" i="1" s="1"/>
  <c r="G32" i="1"/>
  <c r="G52" i="1" s="1"/>
  <c r="H618" i="1" s="1"/>
  <c r="H32" i="1"/>
  <c r="I32" i="1"/>
  <c r="H51" i="1"/>
  <c r="I51" i="1"/>
  <c r="G625" i="1" s="1"/>
  <c r="F177" i="1"/>
  <c r="I177" i="1"/>
  <c r="F183" i="1"/>
  <c r="G183" i="1"/>
  <c r="H183" i="1"/>
  <c r="H192" i="1" s="1"/>
  <c r="I183" i="1"/>
  <c r="J183" i="1"/>
  <c r="J192" i="1" s="1"/>
  <c r="F188" i="1"/>
  <c r="G188" i="1"/>
  <c r="G192" i="1" s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G408" i="1" s="1"/>
  <c r="H645" i="1" s="1"/>
  <c r="H393" i="1"/>
  <c r="I393" i="1"/>
  <c r="I408" i="1" s="1"/>
  <c r="F401" i="1"/>
  <c r="G401" i="1"/>
  <c r="H401" i="1"/>
  <c r="I401" i="1"/>
  <c r="F407" i="1"/>
  <c r="G407" i="1"/>
  <c r="H407" i="1"/>
  <c r="I407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F452" i="1"/>
  <c r="G452" i="1"/>
  <c r="H452" i="1"/>
  <c r="F460" i="1"/>
  <c r="G460" i="1"/>
  <c r="H460" i="1"/>
  <c r="F470" i="1"/>
  <c r="G470" i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59" i="1"/>
  <c r="L560" i="1" s="1"/>
  <c r="F560" i="1"/>
  <c r="G560" i="1"/>
  <c r="H560" i="1"/>
  <c r="H571" i="1" s="1"/>
  <c r="I560" i="1"/>
  <c r="J560" i="1"/>
  <c r="K560" i="1"/>
  <c r="L562" i="1"/>
  <c r="L563" i="1"/>
  <c r="L564" i="1"/>
  <c r="F565" i="1"/>
  <c r="G565" i="1"/>
  <c r="H565" i="1"/>
  <c r="I565" i="1"/>
  <c r="J565" i="1"/>
  <c r="K565" i="1"/>
  <c r="K571" i="1" s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9" i="1"/>
  <c r="G620" i="1"/>
  <c r="G622" i="1"/>
  <c r="G623" i="1"/>
  <c r="G624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G641" i="1"/>
  <c r="G643" i="1"/>
  <c r="G644" i="1"/>
  <c r="G652" i="1"/>
  <c r="H652" i="1"/>
  <c r="G653" i="1"/>
  <c r="H653" i="1"/>
  <c r="G654" i="1"/>
  <c r="H654" i="1"/>
  <c r="H655" i="1"/>
  <c r="J655" i="1" s="1"/>
  <c r="C26" i="10"/>
  <c r="G62" i="2"/>
  <c r="D19" i="13"/>
  <c r="C19" i="13" s="1"/>
  <c r="I169" i="1"/>
  <c r="H169" i="1"/>
  <c r="F571" i="1"/>
  <c r="G22" i="2"/>
  <c r="H140" i="1"/>
  <c r="L565" i="1"/>
  <c r="C19" i="10" l="1"/>
  <c r="L529" i="1"/>
  <c r="G552" i="1"/>
  <c r="K549" i="1"/>
  <c r="A13" i="12"/>
  <c r="I552" i="1"/>
  <c r="F552" i="1"/>
  <c r="L524" i="1"/>
  <c r="G545" i="1"/>
  <c r="H552" i="1"/>
  <c r="H545" i="1"/>
  <c r="K550" i="1"/>
  <c r="D31" i="2"/>
  <c r="J651" i="1"/>
  <c r="J649" i="1"/>
  <c r="J617" i="1"/>
  <c r="G476" i="1"/>
  <c r="H623" i="1" s="1"/>
  <c r="J623" i="1" s="1"/>
  <c r="H661" i="1"/>
  <c r="D127" i="2"/>
  <c r="D128" i="2" s="1"/>
  <c r="C125" i="2"/>
  <c r="H647" i="1"/>
  <c r="D15" i="13"/>
  <c r="C15" i="13" s="1"/>
  <c r="C120" i="2"/>
  <c r="E8" i="13"/>
  <c r="C8" i="13" s="1"/>
  <c r="C119" i="2"/>
  <c r="C121" i="2"/>
  <c r="C15" i="10"/>
  <c r="D6" i="13"/>
  <c r="C6" i="13" s="1"/>
  <c r="J634" i="1"/>
  <c r="E122" i="2"/>
  <c r="L351" i="1"/>
  <c r="C20" i="10"/>
  <c r="I662" i="1"/>
  <c r="K598" i="1"/>
  <c r="G647" i="1" s="1"/>
  <c r="J647" i="1" s="1"/>
  <c r="E16" i="13"/>
  <c r="H461" i="1"/>
  <c r="H641" i="1" s="1"/>
  <c r="J641" i="1" s="1"/>
  <c r="G461" i="1"/>
  <c r="H640" i="1" s="1"/>
  <c r="J640" i="1" s="1"/>
  <c r="L433" i="1"/>
  <c r="C17" i="10"/>
  <c r="E62" i="2"/>
  <c r="E63" i="2" s="1"/>
  <c r="C25" i="10"/>
  <c r="L290" i="1"/>
  <c r="C118" i="2"/>
  <c r="C12" i="10"/>
  <c r="C122" i="2"/>
  <c r="F78" i="2"/>
  <c r="F81" i="2" s="1"/>
  <c r="F461" i="1"/>
  <c r="H639" i="1" s="1"/>
  <c r="G157" i="2"/>
  <c r="E115" i="2"/>
  <c r="D81" i="2"/>
  <c r="C16" i="10"/>
  <c r="G661" i="1"/>
  <c r="H112" i="1"/>
  <c r="L534" i="1"/>
  <c r="G164" i="2"/>
  <c r="D62" i="2"/>
  <c r="D63" i="2" s="1"/>
  <c r="F661" i="1"/>
  <c r="C18" i="10"/>
  <c r="D7" i="13"/>
  <c r="C7" i="13" s="1"/>
  <c r="A31" i="12"/>
  <c r="H25" i="13"/>
  <c r="C25" i="13" s="1"/>
  <c r="J476" i="1"/>
  <c r="H626" i="1" s="1"/>
  <c r="F338" i="1"/>
  <c r="F352" i="1" s="1"/>
  <c r="F192" i="1"/>
  <c r="L309" i="1"/>
  <c r="C29" i="10"/>
  <c r="I476" i="1"/>
  <c r="H625" i="1" s="1"/>
  <c r="J625" i="1" s="1"/>
  <c r="G156" i="2"/>
  <c r="L427" i="1"/>
  <c r="L419" i="1"/>
  <c r="K545" i="1"/>
  <c r="H476" i="1"/>
  <c r="H624" i="1" s="1"/>
  <c r="J624" i="1" s="1"/>
  <c r="H408" i="1"/>
  <c r="H644" i="1" s="1"/>
  <c r="J644" i="1" s="1"/>
  <c r="H338" i="1"/>
  <c r="H352" i="1" s="1"/>
  <c r="L256" i="1"/>
  <c r="G161" i="2"/>
  <c r="C130" i="2"/>
  <c r="J552" i="1"/>
  <c r="F169" i="1"/>
  <c r="K605" i="1"/>
  <c r="G648" i="1" s="1"/>
  <c r="J571" i="1"/>
  <c r="D50" i="2"/>
  <c r="D18" i="2"/>
  <c r="C18" i="2"/>
  <c r="K551" i="1"/>
  <c r="L393" i="1"/>
  <c r="C138" i="2" s="1"/>
  <c r="J545" i="1"/>
  <c r="G338" i="1"/>
  <c r="G352" i="1" s="1"/>
  <c r="L570" i="1"/>
  <c r="I571" i="1"/>
  <c r="I545" i="1"/>
  <c r="F476" i="1"/>
  <c r="H622" i="1" s="1"/>
  <c r="J622" i="1" s="1"/>
  <c r="F408" i="1"/>
  <c r="H643" i="1" s="1"/>
  <c r="J643" i="1" s="1"/>
  <c r="D12" i="13"/>
  <c r="C12" i="13" s="1"/>
  <c r="C13" i="10"/>
  <c r="J639" i="1"/>
  <c r="C16" i="13"/>
  <c r="K352" i="1"/>
  <c r="C114" i="2"/>
  <c r="C62" i="2"/>
  <c r="C63" i="2" s="1"/>
  <c r="F22" i="13"/>
  <c r="C22" i="13" s="1"/>
  <c r="J338" i="1"/>
  <c r="J352" i="1" s="1"/>
  <c r="E13" i="13"/>
  <c r="C13" i="13" s="1"/>
  <c r="I446" i="1"/>
  <c r="G642" i="1" s="1"/>
  <c r="E118" i="2"/>
  <c r="E128" i="2" s="1"/>
  <c r="C85" i="2"/>
  <c r="C91" i="2" s="1"/>
  <c r="A40" i="12"/>
  <c r="F112" i="1"/>
  <c r="C36" i="10" s="1"/>
  <c r="L614" i="1"/>
  <c r="H33" i="13"/>
  <c r="D14" i="13"/>
  <c r="C14" i="13" s="1"/>
  <c r="I452" i="1"/>
  <c r="L539" i="1"/>
  <c r="L544" i="1"/>
  <c r="L362" i="1"/>
  <c r="G635" i="1" s="1"/>
  <c r="J635" i="1" s="1"/>
  <c r="C111" i="2"/>
  <c r="K500" i="1"/>
  <c r="G645" i="1"/>
  <c r="J645" i="1" s="1"/>
  <c r="D29" i="13"/>
  <c r="C29" i="13" s="1"/>
  <c r="I52" i="1"/>
  <c r="H620" i="1" s="1"/>
  <c r="J620" i="1" s="1"/>
  <c r="D145" i="2"/>
  <c r="C123" i="2"/>
  <c r="L382" i="1"/>
  <c r="G636" i="1" s="1"/>
  <c r="J636" i="1" s="1"/>
  <c r="I460" i="1"/>
  <c r="H52" i="1"/>
  <c r="H619" i="1" s="1"/>
  <c r="K503" i="1"/>
  <c r="D17" i="13"/>
  <c r="C17" i="13" s="1"/>
  <c r="C112" i="2"/>
  <c r="J257" i="1"/>
  <c r="J271" i="1" s="1"/>
  <c r="K257" i="1"/>
  <c r="K271" i="1" s="1"/>
  <c r="I257" i="1"/>
  <c r="I271" i="1" s="1"/>
  <c r="L247" i="1"/>
  <c r="H660" i="1" s="1"/>
  <c r="C109" i="2"/>
  <c r="C110" i="2"/>
  <c r="H257" i="1"/>
  <c r="H271" i="1" s="1"/>
  <c r="C11" i="10"/>
  <c r="L211" i="1"/>
  <c r="F660" i="1" s="1"/>
  <c r="C78" i="2"/>
  <c r="C81" i="2" s="1"/>
  <c r="C70" i="2"/>
  <c r="C35" i="10"/>
  <c r="G257" i="1"/>
  <c r="G271" i="1" s="1"/>
  <c r="F257" i="1"/>
  <c r="F271" i="1" s="1"/>
  <c r="L229" i="1"/>
  <c r="C10" i="10"/>
  <c r="D5" i="13"/>
  <c r="C5" i="13" s="1"/>
  <c r="L337" i="1"/>
  <c r="L338" i="1" s="1"/>
  <c r="L352" i="1" s="1"/>
  <c r="G633" i="1" s="1"/>
  <c r="J633" i="1" s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E145" i="2"/>
  <c r="C24" i="10"/>
  <c r="G31" i="13"/>
  <c r="G33" i="13" s="1"/>
  <c r="I338" i="1"/>
  <c r="I352" i="1" s="1"/>
  <c r="J650" i="1"/>
  <c r="L407" i="1"/>
  <c r="C140" i="2" s="1"/>
  <c r="L571" i="1"/>
  <c r="I192" i="1"/>
  <c r="E91" i="2"/>
  <c r="E104" i="2" s="1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H193" i="1"/>
  <c r="G629" i="1" s="1"/>
  <c r="J629" i="1" s="1"/>
  <c r="G169" i="1"/>
  <c r="G140" i="1"/>
  <c r="F140" i="1"/>
  <c r="G63" i="2"/>
  <c r="G104" i="2" s="1"/>
  <c r="J618" i="1"/>
  <c r="G42" i="2"/>
  <c r="G50" i="2" s="1"/>
  <c r="G51" i="2" s="1"/>
  <c r="J51" i="1"/>
  <c r="G16" i="2"/>
  <c r="G18" i="2" s="1"/>
  <c r="J19" i="1"/>
  <c r="G621" i="1" s="1"/>
  <c r="F545" i="1"/>
  <c r="H434" i="1"/>
  <c r="J619" i="1"/>
  <c r="D103" i="2"/>
  <c r="I140" i="1"/>
  <c r="A22" i="12"/>
  <c r="J652" i="1"/>
  <c r="G571" i="1"/>
  <c r="I434" i="1"/>
  <c r="G434" i="1"/>
  <c r="I663" i="1"/>
  <c r="C27" i="10" l="1"/>
  <c r="C28" i="10" s="1"/>
  <c r="D24" i="10" s="1"/>
  <c r="H664" i="1"/>
  <c r="H667" i="1" s="1"/>
  <c r="K552" i="1"/>
  <c r="D51" i="2"/>
  <c r="C39" i="10"/>
  <c r="F664" i="1"/>
  <c r="F672" i="1" s="1"/>
  <c r="C4" i="10" s="1"/>
  <c r="I661" i="1"/>
  <c r="C128" i="2"/>
  <c r="C141" i="2"/>
  <c r="C144" i="2" s="1"/>
  <c r="D104" i="2"/>
  <c r="F193" i="1"/>
  <c r="G627" i="1" s="1"/>
  <c r="J627" i="1" s="1"/>
  <c r="D31" i="13"/>
  <c r="C31" i="13" s="1"/>
  <c r="F104" i="2"/>
  <c r="C104" i="2"/>
  <c r="L545" i="1"/>
  <c r="I461" i="1"/>
  <c r="H642" i="1" s="1"/>
  <c r="J642" i="1" s="1"/>
  <c r="I193" i="1"/>
  <c r="G630" i="1" s="1"/>
  <c r="J630" i="1" s="1"/>
  <c r="E33" i="13"/>
  <c r="D35" i="13" s="1"/>
  <c r="F33" i="13"/>
  <c r="H648" i="1"/>
  <c r="J648" i="1" s="1"/>
  <c r="F51" i="2"/>
  <c r="L408" i="1"/>
  <c r="C115" i="2"/>
  <c r="L257" i="1"/>
  <c r="L271" i="1" s="1"/>
  <c r="G632" i="1" s="1"/>
  <c r="J632" i="1" s="1"/>
  <c r="G660" i="1"/>
  <c r="G664" i="1" s="1"/>
  <c r="G672" i="1" s="1"/>
  <c r="C5" i="10" s="1"/>
  <c r="C51" i="2"/>
  <c r="G631" i="1"/>
  <c r="J631" i="1" s="1"/>
  <c r="D33" i="13"/>
  <c r="D36" i="13" s="1"/>
  <c r="G193" i="1"/>
  <c r="G628" i="1" s="1"/>
  <c r="J628" i="1" s="1"/>
  <c r="G626" i="1"/>
  <c r="J626" i="1" s="1"/>
  <c r="J52" i="1"/>
  <c r="H621" i="1" s="1"/>
  <c r="J621" i="1" s="1"/>
  <c r="C38" i="10"/>
  <c r="H672" i="1" l="1"/>
  <c r="C6" i="10" s="1"/>
  <c r="F667" i="1"/>
  <c r="C145" i="2"/>
  <c r="G637" i="1"/>
  <c r="J637" i="1" s="1"/>
  <c r="H646" i="1"/>
  <c r="J646" i="1" s="1"/>
  <c r="I660" i="1"/>
  <c r="I664" i="1" s="1"/>
  <c r="I672" i="1" s="1"/>
  <c r="C7" i="10" s="1"/>
  <c r="G667" i="1"/>
  <c r="D26" i="10"/>
  <c r="D23" i="10"/>
  <c r="D15" i="10"/>
  <c r="D11" i="10"/>
  <c r="D17" i="10"/>
  <c r="C30" i="10"/>
  <c r="D25" i="10"/>
  <c r="D21" i="10"/>
  <c r="D13" i="10"/>
  <c r="D27" i="10"/>
  <c r="D12" i="10"/>
  <c r="D10" i="10"/>
  <c r="D16" i="10"/>
  <c r="D20" i="10"/>
  <c r="D19" i="10"/>
  <c r="D22" i="10"/>
  <c r="D18" i="10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<sst xmlns="http://schemas.openxmlformats.org/spreadsheetml/2006/main" count="3990" uniqueCount="917">
  <si>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</si>
  <si>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</si>
  <si>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</si>
  <si>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</si>
  <si>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</si>
  <si>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</si>
  <si>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</si>
  <si>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</si>
  <si>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</si>
  <si>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</si>
  <si>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</si>
  <si>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</si>
  <si>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</si>
  <si>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</si>
  <si>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</si>
  <si>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</si>
  <si>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</si>
  <si>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</si>
  <si>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</si>
  <si>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</si>
  <si>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</si>
  <si>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</si>
  <si>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</si>
  <si>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</si>
  <si>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</si>
  <si>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</si>
  <si>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</si>
  <si>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</si>
  <si>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</si>
  <si>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</si>
  <si>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</si>
  <si>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</si>
  <si>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</si>
  <si>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</si>
  <si>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</si>
  <si>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</si>
  <si>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</si>
  <si>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</si>
  <si>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</si>
  <si>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</si>
  <si>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</si>
  <si>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</si>
  <si>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</si>
  <si>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</si>
  <si>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</si>
  <si>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</si>
  <si>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</si>
  <si>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</si>
  <si>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</si>
  <si>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</si>
  <si>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</si>
  <si>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</si>
  <si>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</si>
  <si>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</si>
  <si>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</si>
  <si>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</si>
  <si>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</si>
  <si>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</si>
  <si>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</si>
  <si>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</si>
  <si>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</si>
  <si>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</si>
  <si>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</si>
  <si>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</si>
  <si>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</si>
  <si>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</si>
  <si>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</si>
  <si>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</si>
  <si>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</si>
  <si>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</si>
  <si>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</si>
  <si>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</si>
  <si>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</si>
  <si>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</si>
  <si>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</si>
  <si>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</si>
  <si>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</si>
  <si>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</si>
  <si>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</si>
  <si>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</si>
  <si>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</si>
  <si>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</si>
  <si>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</si>
  <si>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</si>
  <si>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</si>
  <si>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</si>
  <si>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</si>
  <si>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</si>
  <si>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</si>
  <si>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</si>
  <si>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</si>
  <si>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</si>
  <si>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</si>
  <si>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</si>
  <si>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</si>
  <si>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</si>
  <si>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</si>
  <si>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</si>
  <si>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</si>
  <si>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</si>
  <si>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</si>
  <si>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</si>
  <si>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</si>
  <si>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</si>
  <si>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</si>
  <si>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</si>
  <si>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</si>
  <si>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</si>
  <si>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</si>
  <si>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</si>
  <si>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</si>
  <si>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</si>
  <si>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</si>
  <si>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</si>
  <si>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</si>
  <si>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</si>
  <si>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</si>
  <si>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</si>
  <si>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</si>
  <si>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</si>
  <si>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</si>
  <si>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</si>
  <si>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</si>
  <si>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</si>
  <si>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</si>
  <si>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</si>
  <si>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</si>
  <si>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</si>
  <si>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</si>
  <si>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</si>
  <si>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</si>
  <si>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</si>
  <si>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</si>
  <si>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</si>
  <si>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</si>
  <si>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</si>
  <si>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</si>
  <si>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</si>
  <si>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</si>
  <si>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</si>
  <si>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</si>
  <si>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</si>
  <si>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</si>
  <si>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</si>
  <si>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</si>
  <si>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</si>
  <si>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</si>
  <si>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</si>
  <si>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</si>
  <si>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</si>
  <si>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</si>
  <si>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</si>
  <si>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</si>
  <si>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</si>
  <si>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</si>
  <si>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</si>
  <si>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</si>
  <si>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</si>
  <si>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</si>
  <si>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</si>
  <si>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</si>
  <si>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</si>
  <si>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</si>
  <si>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</si>
  <si>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</si>
  <si>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</si>
  <si>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</si>
  <si>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</si>
  <si>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</si>
  <si>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</si>
  <si>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</si>
  <si>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</si>
  <si>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</si>
  <si>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</si>
  <si>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</si>
  <si>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</si>
  <si>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</si>
  <si>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</si>
  <si>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</si>
  <si>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</si>
  <si>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</si>
  <si>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</si>
  <si>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</si>
  <si>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</si>
  <si>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</si>
  <si>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</si>
  <si>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</si>
  <si>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</si>
  <si>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</si>
  <si>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</si>
  <si>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</si>
  <si>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</si>
  <si>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</si>
  <si>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</si>
  <si>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</si>
  <si>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</si>
  <si>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</si>
  <si>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</si>
  <si>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</si>
  <si>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</si>
  <si>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</si>
  <si>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</si>
  <si>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</si>
  <si>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</si>
  <si>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</si>
  <si>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</si>
  <si>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</si>
  <si>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</si>
  <si>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</si>
  <si>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</si>
  <si>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</si>
  <si>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</si>
  <si>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</si>
  <si>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</si>
  <si>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</si>
  <si>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</si>
  <si>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</si>
  <si>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</si>
  <si>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</si>
  <si>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</si>
  <si>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</si>
  <si>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</si>
  <si>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</si>
  <si>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</si>
  <si>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</si>
  <si>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</si>
  <si>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</si>
  <si>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</si>
  <si>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</si>
  <si>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</si>
  <si>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</si>
  <si>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</si>
  <si>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</si>
  <si>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</si>
  <si>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</si>
  <si>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</si>
  <si>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</si>
  <si>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</si>
  <si>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</si>
  <si>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</si>
  <si>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</si>
  <si>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</si>
  <si>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</si>
  <si>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</si>
  <si>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</si>
  <si>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</si>
  <si>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</si>
  <si>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</si>
  <si>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</si>
  <si>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</si>
  <si>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</si>
  <si>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</si>
  <si>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</si>
  <si>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</si>
  <si>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</si>
  <si>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</si>
  <si>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</si>
  <si>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</si>
  <si>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</si>
  <si>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</si>
  <si>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</si>
  <si>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</si>
  <si>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</si>
  <si>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</si>
  <si>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</si>
  <si>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</si>
  <si>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</si>
  <si>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</si>
  <si>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</si>
  <si>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</si>
  <si>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</si>
  <si>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</si>
  <si>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</si>
  <si>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</si>
  <si>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</si>
  <si>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</si>
  <si>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</si>
  <si>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</si>
  <si>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</si>
  <si>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</si>
  <si>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</si>
  <si>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</si>
  <si>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</si>
  <si>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</si>
  <si>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</si>
  <si>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</si>
  <si>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</si>
  <si>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</si>
  <si>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</si>
  <si>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</si>
  <si>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</si>
  <si>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</si>
  <si>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</si>
  <si>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</si>
  <si>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</si>
  <si>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</si>
  <si>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</si>
  <si>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</si>
  <si>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</si>
  <si>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</si>
  <si>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</si>
  <si>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</si>
  <si>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</si>
  <si>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</si>
  <si>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</si>
  <si>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</si>
  <si>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</si>
  <si>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</si>
  <si>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</si>
  <si>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</si>
  <si>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</si>
  <si>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</si>
  <si>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</si>
  <si>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</si>
  <si>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</si>
  <si>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</si>
  <si>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</si>
  <si>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</si>
  <si>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</si>
  <si>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</si>
  <si>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</si>
  <si>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</si>
  <si>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</si>
  <si>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</si>
  <si>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</si>
  <si>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</si>
  <si>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</si>
  <si>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</si>
  <si>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</si>
  <si>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</si>
  <si>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</si>
  <si>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</si>
  <si>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</si>
  <si>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</si>
  <si>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</si>
  <si>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</si>
  <si>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</si>
  <si>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</si>
  <si>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</si>
  <si>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</si>
  <si>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</si>
  <si>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</si>
  <si>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</si>
  <si>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</si>
  <si>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</si>
  <si>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</si>
  <si>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</si>
  <si>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</si>
  <si>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</si>
  <si>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</si>
  <si>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</si>
  <si>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</si>
  <si>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</si>
  <si>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</si>
  <si>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</si>
  <si>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</si>
  <si>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</si>
  <si>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</si>
  <si>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</si>
  <si>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</si>
  <si>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</si>
  <si>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</si>
  <si>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</si>
  <si>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</si>
  <si>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</si>
  <si>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</si>
  <si>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</si>
  <si>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</si>
  <si>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</si>
  <si>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</si>
  <si>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</si>
  <si>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</si>
  <si>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</si>
  <si>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</si>
  <si>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</si>
  <si>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</si>
  <si>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</si>
  <si>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</si>
  <si>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</si>
  <si>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</si>
  <si>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</si>
  <si>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</si>
  <si>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</si>
  <si>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</si>
  <si>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</si>
  <si>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</si>
  <si>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</si>
  <si>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</si>
  <si>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</si>
  <si>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</si>
  <si>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</si>
  <si>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</si>
  <si>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</si>
  <si>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</si>
  <si>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</si>
  <si>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</si>
  <si>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</si>
  <si>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</si>
  <si>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</si>
  <si>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</si>
  <si>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</si>
  <si>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</si>
  <si>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</si>
  <si>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</si>
  <si>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</si>
  <si>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</si>
  <si>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</si>
  <si>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</si>
  <si>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</si>
  <si>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</si>
  <si>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</si>
  <si>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</si>
  <si>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</si>
  <si>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</si>
  <si>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</si>
  <si>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</si>
  <si>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</si>
  <si>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</si>
  <si>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</si>
  <si>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</si>
  <si>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</si>
  <si>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</si>
  <si>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</si>
  <si>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</si>
  <si>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</si>
  <si>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</si>
  <si>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</si>
  <si>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</si>
  <si>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</si>
  <si>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</si>
  <si>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</si>
  <si>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</si>
  <si>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</si>
  <si>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</si>
  <si>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</si>
  <si>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</si>
  <si>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</si>
  <si>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</si>
  <si>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</si>
  <si>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</si>
  <si>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</si>
  <si>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</si>
  <si>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</si>
  <si>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</si>
  <si>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</si>
  <si>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</si>
  <si>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</si>
  <si>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</si>
  <si>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</si>
  <si>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</si>
  <si>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</si>
  <si>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</si>
  <si>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</si>
  <si>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</si>
  <si>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</si>
  <si>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</si>
  <si>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</si>
  <si>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</si>
  <si>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</si>
  <si>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</si>
  <si>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</si>
  <si>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</si>
  <si>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</si>
  <si>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</si>
  <si>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</si>
  <si>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</si>
  <si>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</si>
  <si>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</si>
  <si>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</si>
  <si>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</si>
  <si>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</si>
  <si>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</si>
  <si>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</si>
  <si>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</si>
  <si>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</si>
  <si>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</si>
  <si>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</si>
  <si>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</si>
  <si>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</si>
  <si>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</si>
  <si>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</si>
  <si>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</si>
  <si>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</si>
  <si>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</si>
  <si>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</si>
  <si>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</si>
  <si>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</si>
  <si>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</si>
  <si>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</si>
  <si>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</si>
  <si>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</si>
  <si>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</si>
  <si>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</si>
  <si>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</si>
  <si>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</si>
  <si>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</si>
  <si>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</si>
  <si>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</si>
  <si>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</si>
  <si>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</si>
  <si>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</si>
  <si>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</si>
  <si>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</si>
  <si>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</si>
  <si>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</si>
  <si>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</si>
  <si>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</si>
  <si>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</si>
  <si>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</si>
  <si>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</si>
  <si>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</si>
  <si>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</si>
  <si>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</si>
  <si>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</si>
  <si>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</si>
  <si>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</si>
  <si>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</si>
  <si>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</si>
  <si>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</si>
  <si>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</si>
  <si>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</si>
  <si>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</si>
  <si>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</si>
  <si>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</si>
  <si>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</si>
  <si>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</si>
  <si>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</si>
  <si>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</si>
  <si>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</si>
  <si>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</si>
  <si>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</si>
  <si>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</si>
  <si>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</si>
  <si>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</si>
  <si>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</si>
  <si>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</si>
  <si>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</si>
  <si>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</si>
  <si>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</si>
  <si>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</si>
  <si>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</si>
  <si>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</si>
  <si>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</si>
  <si>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</si>
  <si>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</si>
  <si>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</si>
  <si>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</si>
  <si>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</si>
  <si>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</si>
  <si>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</si>
  <si>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</si>
  <si>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</si>
  <si>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</si>
  <si>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</si>
  <si>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</si>
  <si>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</si>
  <si>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</si>
  <si>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</si>
  <si>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</si>
  <si>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</si>
  <si>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</si>
  <si>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</si>
  <si>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</si>
  <si>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</si>
  <si>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</si>
  <si>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</si>
  <si>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</si>
  <si>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</si>
  <si>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</si>
  <si>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</si>
  <si>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</si>
  <si>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</si>
  <si>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</si>
  <si>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</si>
  <si>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</si>
  <si>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</si>
  <si>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</si>
  <si>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</si>
  <si>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</si>
  <si>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</si>
  <si>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</si>
  <si>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</si>
  <si>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</si>
  <si>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</si>
  <si>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</si>
  <si>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</si>
  <si>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</si>
  <si>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</si>
  <si>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</si>
  <si>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</si>
  <si>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</si>
  <si>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</si>
  <si>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</si>
  <si>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</si>
  <si>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</si>
  <si>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</si>
  <si>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</si>
  <si>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</si>
  <si>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</si>
  <si>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</si>
  <si>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</si>
  <si>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</si>
  <si>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</si>
  <si>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</si>
  <si>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</si>
  <si>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</si>
  <si>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</si>
  <si>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</si>
  <si>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</si>
  <si>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</si>
  <si>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</si>
  <si>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</si>
  <si>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</si>
  <si>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</si>
  <si>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</si>
  <si>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</si>
  <si>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</si>
  <si>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</si>
  <si>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</si>
  <si>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</si>
  <si>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</si>
  <si>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</si>
  <si>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</si>
  <si>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</si>
  <si>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</si>
  <si>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</si>
  <si>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</si>
  <si>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</si>
  <si>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</si>
  <si>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</si>
  <si>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</si>
  <si>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</si>
  <si>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</si>
  <si>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</si>
  <si>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</si>
  <si>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</si>
  <si>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</si>
  <si>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</si>
  <si>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</si>
  <si>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</si>
  <si>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</si>
  <si>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</si>
  <si>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</si>
  <si>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</si>
  <si>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</si>
  <si>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</si>
  <si>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</si>
  <si>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</si>
  <si>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</si>
  <si>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</si>
  <si>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</si>
  <si>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</si>
  <si>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</si>
  <si>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</si>
  <si>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</si>
  <si>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</si>
  <si>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</si>
  <si>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</si>
  <si>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</si>
  <si>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</si>
  <si>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</si>
  <si>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</si>
  <si>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</si>
  <si>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</si>
  <si>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</si>
  <si>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</si>
  <si>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</si>
  <si>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</si>
  <si>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</si>
  <si>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</si>
  <si>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</si>
  <si>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</si>
  <si>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</si>
  <si>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</si>
  <si>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</si>
  <si>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</si>
  <si>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</si>
  <si>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</si>
  <si>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</si>
  <si>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</si>
  <si>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</si>
  <si>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</si>
  <si>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</si>
  <si>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</si>
  <si>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</si>
  <si>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</si>
  <si>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</si>
  <si>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</si>
  <si>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</si>
  <si>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</si>
  <si>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</si>
  <si>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</si>
  <si>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</si>
  <si>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</si>
  <si>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</si>
  <si>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</si>
  <si>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</si>
  <si>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</si>
  <si>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</si>
  <si>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</si>
  <si>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</si>
  <si>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</si>
  <si>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</si>
  <si>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</si>
  <si>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</si>
  <si>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</si>
  <si>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</si>
  <si>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</si>
  <si>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</si>
  <si>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</si>
  <si>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</si>
  <si>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</si>
  <si>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</si>
  <si>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</si>
  <si>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</si>
  <si>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</si>
  <si>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</si>
  <si>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</si>
  <si>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</si>
  <si>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</si>
  <si>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</si>
  <si>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</si>
  <si>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</si>
  <si>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</si>
  <si>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</si>
  <si>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</si>
  <si>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</si>
  <si>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</si>
  <si>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</si>
  <si>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</si>
  <si>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</si>
  <si>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</si>
  <si>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</si>
  <si>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</si>
  <si>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</si>
  <si>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</si>
  <si>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</si>
  <si>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</si>
  <si>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</si>
  <si>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</si>
  <si>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</si>
  <si>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</si>
  <si>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</si>
  <si>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</si>
  <si>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</si>
  <si>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</si>
  <si>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</si>
  <si>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</si>
  <si>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</si>
  <si>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</si>
  <si>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</si>
  <si>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</si>
  <si>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</si>
  <si>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</si>
  <si>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</si>
  <si>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</si>
  <si>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</si>
  <si>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</si>
  <si>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</si>
  <si>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</si>
  <si>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</si>
  <si>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</si>
  <si>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</si>
  <si>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</si>
  <si>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</si>
  <si>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</si>
  <si>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</si>
  <si>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</si>
  <si>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</si>
  <si>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</si>
  <si>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</si>
  <si>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</si>
  <si>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</si>
  <si>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</si>
  <si>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</si>
  <si>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</si>
  <si>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</si>
  <si>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</si>
  <si>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</si>
  <si>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</si>
  <si>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</si>
  <si>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</si>
  <si>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</si>
  <si>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</si>
  <si>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</si>
  <si>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</si>
  <si>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</si>
  <si>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</si>
  <si>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</si>
  <si>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</si>
  <si>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</si>
  <si>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</si>
  <si>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</si>
  <si>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</si>
  <si>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</si>
  <si>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</si>
  <si>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</si>
  <si>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</si>
  <si>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</si>
  <si>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</si>
  <si>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</si>
  <si>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</si>
  <si>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</si>
  <si>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</si>
  <si>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</si>
  <si>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</si>
  <si>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</si>
  <si>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</si>
  <si>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</si>
  <si>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</si>
  <si>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</si>
  <si>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</si>
  <si>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</si>
  <si>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</si>
  <si>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</si>
  <si>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</si>
  <si>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</si>
  <si>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</si>
  <si>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</si>
  <si>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</si>
  <si>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</si>
  <si>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</si>
  <si>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</si>
  <si>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</si>
  <si>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</si>
  <si>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</si>
  <si>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</si>
  <si>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</si>
  <si>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</si>
  <si>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</si>
  <si>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</si>
  <si>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</si>
  <si>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</si>
  <si>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</si>
  <si>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</si>
  <si>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</si>
  <si>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</si>
  <si>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</si>
  <si>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</si>
  <si>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</si>
  <si>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</si>
  <si>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</si>
  <si>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</si>
  <si>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</si>
  <si>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</si>
  <si>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</si>
  <si>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</si>
  <si>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</si>
  <si>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</si>
  <si>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</si>
  <si>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</si>
  <si>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</si>
  <si>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</si>
  <si>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</si>
  <si>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</si>
  <si>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</si>
  <si>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</si>
  <si>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</si>
  <si>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</si>
  <si>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</si>
  <si>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</si>
  <si>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</si>
  <si>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</si>
  <si>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</si>
  <si>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</si>
  <si>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</si>
  <si>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</si>
  <si>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</si>
  <si>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</si>
  <si>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</si>
  <si>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</si>
  <si>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</si>
  <si>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</si>
  <si>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</si>
  <si>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</si>
  <si>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</si>
  <si>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</si>
  <si>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</si>
  <si>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</si>
  <si>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</si>
  <si>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</si>
  <si>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</si>
  <si>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</si>
  <si>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</si>
  <si>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</si>
  <si>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</si>
  <si>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</si>
  <si>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</si>
  <si>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</si>
  <si>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</si>
  <si>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</si>
  <si>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</si>
  <si>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</si>
  <si>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</si>
  <si>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</si>
  <si>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</si>
  <si>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</si>
  <si>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</si>
  <si>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</si>
  <si>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</si>
  <si>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</si>
  <si>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</si>
  <si>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DOE 25  2014-2015</t>
  </si>
  <si>
    <t xml:space="preserve">Total Fund Equity June 30, 2015**** </t>
  </si>
  <si>
    <t>TOTAL FUND EQUITY, JULY 1, 2014</t>
  </si>
  <si>
    <t>For the Fiscal Year Ending on June 30, 2015</t>
  </si>
  <si>
    <t>For Fiscal Year Ending June 30, 2015</t>
  </si>
  <si>
    <t>Indirect Cost Rate to be determine at later date for FY2016-2017</t>
  </si>
  <si>
    <t>2014-2015 Current Expenditure Per Pupil(in dollars)</t>
  </si>
  <si>
    <t>2014-15-Current Expenditure Per Pupil</t>
  </si>
  <si>
    <t>2014-15-Total Revenues</t>
  </si>
  <si>
    <t>FRANKLIN</t>
  </si>
  <si>
    <t>x</t>
  </si>
  <si>
    <t>8/99</t>
  </si>
  <si>
    <t>05/06</t>
  </si>
  <si>
    <t>8/19</t>
  </si>
  <si>
    <t>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</si>
</sst>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Normal="100" workbookViewId="0">
      <pane xSplit="5" ySplit="3" topLeftCell="F632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185</v>
      </c>
      <c r="C2" s="21">
        <v>185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41146.870000000003</v>
      </c>
      <c r="G9" s="18">
        <v>56513.89</v>
      </c>
      <c r="H9" s="18"/>
      <c r="I9" s="18"/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261954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651135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241905.81</v>
      </c>
      <c r="G13" s="18">
        <v>499516.41</v>
      </c>
      <c r="H13" s="18"/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13924.86</v>
      </c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9448.49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948112.53999999992</v>
      </c>
      <c r="G19" s="41">
        <f>SUM(G9:G18)</f>
        <v>565478.78999999992</v>
      </c>
      <c r="H19" s="41">
        <f>SUM(H9:H18)</f>
        <v>0</v>
      </c>
      <c r="I19" s="41">
        <f>SUM(I9:I18)</f>
        <v>0</v>
      </c>
      <c r="J19" s="41">
        <f>SUM(J9:J18)</f>
        <v>261954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528402.43000000005</v>
      </c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35230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293948.86</v>
      </c>
      <c r="G24" s="18">
        <v>537.32000000000005</v>
      </c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>
        <v>39500</v>
      </c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28238.639999999999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7840.88</v>
      </c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396917.5</v>
      </c>
      <c r="G32" s="41">
        <f>SUM(G22:G31)</f>
        <v>536780.63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19055.23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>
        <v>260083</v>
      </c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200000</v>
      </c>
      <c r="G48" s="18">
        <v>9642.93</v>
      </c>
      <c r="H48" s="18"/>
      <c r="I48" s="18"/>
      <c r="J48" s="13">
        <f>SUM(I459)</f>
        <v>261954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91112.04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/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551195.04</v>
      </c>
      <c r="G51" s="41">
        <f>SUM(G35:G50)</f>
        <v>28698.16</v>
      </c>
      <c r="H51" s="41">
        <f>SUM(H35:H50)</f>
        <v>0</v>
      </c>
      <c r="I51" s="41">
        <f>SUM(I35:I50)</f>
        <v>0</v>
      </c>
      <c r="J51" s="41">
        <f>SUM(J35:J50)</f>
        <v>261954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948112.54</v>
      </c>
      <c r="G52" s="41">
        <f>G51+G32</f>
        <v>565478.79</v>
      </c>
      <c r="H52" s="41">
        <f>H51+H32</f>
        <v>0</v>
      </c>
      <c r="I52" s="41">
        <f>I51+I32</f>
        <v>0</v>
      </c>
      <c r="J52" s="41">
        <f>J51+J32</f>
        <v>261954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3427275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3427275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>
        <v>381456.77</v>
      </c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381456.77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>
        <v>34.53</v>
      </c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176513.89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>
        <v>4263.41</v>
      </c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4000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/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4000</v>
      </c>
      <c r="G111" s="41">
        <f>SUM(G96:G110)</f>
        <v>180811.83000000002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3812731.77</v>
      </c>
      <c r="G112" s="41">
        <f>G60+G111</f>
        <v>180811.83000000002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8146890.8099999996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1162694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>
        <v>5645.94</v>
      </c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9315230.7499999981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181944.16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174219.27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8341.2000000000007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13902.15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364504.63</v>
      </c>
      <c r="G136" s="41">
        <f>SUM(G123:G135)</f>
        <v>13902.15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9679735.379999999</v>
      </c>
      <c r="G140" s="41">
        <f>G121+SUM(G136:G137)</f>
        <v>13902.15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>
        <v>62417.25</v>
      </c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62417.25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377285.12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258490.94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258490.94</v>
      </c>
      <c r="G162" s="41">
        <f>SUM(G150:G161)</f>
        <v>377285.12</v>
      </c>
      <c r="H162" s="41">
        <f>SUM(H150:H161)</f>
        <v>0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320908.19</v>
      </c>
      <c r="G169" s="41">
        <f>G147+G162+SUM(G163:G168)</f>
        <v>377285.12</v>
      </c>
      <c r="H169" s="41">
        <f>H147+H162+SUM(H163:H168)</f>
        <v>0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13813375.339999998</v>
      </c>
      <c r="G193" s="47">
        <f>G112+G140+G169+G192</f>
        <v>571999.1</v>
      </c>
      <c r="H193" s="47">
        <f>H112+H140+H169+H192</f>
        <v>0</v>
      </c>
      <c r="I193" s="47">
        <f>I112+I140+I169+I192</f>
        <v>0</v>
      </c>
      <c r="J193" s="47">
        <f>J112+J140+J192</f>
        <v>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1086466.7</v>
      </c>
      <c r="G197" s="18">
        <v>421834.1</v>
      </c>
      <c r="H197" s="18">
        <v>29668.1</v>
      </c>
      <c r="I197" s="18">
        <v>75335.009999999995</v>
      </c>
      <c r="J197" s="18"/>
      <c r="K197" s="18"/>
      <c r="L197" s="19">
        <f>SUM(F197:K197)</f>
        <v>1613303.91</v>
      </c>
      <c r="M197" s="8" t="s">
        <v>912</v>
      </c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548088.63</v>
      </c>
      <c r="G198" s="18">
        <v>219264.5</v>
      </c>
      <c r="H198" s="18">
        <v>60329.54</v>
      </c>
      <c r="I198" s="18">
        <v>3201.05</v>
      </c>
      <c r="J198" s="18">
        <v>846.83</v>
      </c>
      <c r="K198" s="18">
        <v>225</v>
      </c>
      <c r="L198" s="19">
        <f>SUM(F198:K198)</f>
        <v>831955.55</v>
      </c>
      <c r="M198" s="8" t="s">
        <v>912</v>
      </c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500</v>
      </c>
      <c r="G200" s="18">
        <f>38.26+70.8</f>
        <v>109.06</v>
      </c>
      <c r="H200" s="18"/>
      <c r="I200" s="18"/>
      <c r="J200" s="18"/>
      <c r="K200" s="18"/>
      <c r="L200" s="19">
        <f>SUM(F200:K200)</f>
        <v>609.05999999999995</v>
      </c>
      <c r="M200" s="8" t="s">
        <v>912</v>
      </c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241898.91</v>
      </c>
      <c r="G202" s="18">
        <v>91021.72</v>
      </c>
      <c r="H202" s="18">
        <v>236790.62</v>
      </c>
      <c r="I202" s="18">
        <v>3661.98</v>
      </c>
      <c r="J202" s="18">
        <v>1431.68</v>
      </c>
      <c r="K202" s="18">
        <v>145</v>
      </c>
      <c r="L202" s="19">
        <f t="shared" ref="L202:L208" si="0">SUM(F202:K202)</f>
        <v>574949.91</v>
      </c>
      <c r="M202" s="8" t="s">
        <v>912</v>
      </c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16659.740000000002</v>
      </c>
      <c r="G203" s="18">
        <v>6792.86</v>
      </c>
      <c r="H203" s="18">
        <v>14000.75</v>
      </c>
      <c r="I203" s="18">
        <v>1092.1300000000001</v>
      </c>
      <c r="J203" s="18">
        <v>28161.61</v>
      </c>
      <c r="K203" s="18"/>
      <c r="L203" s="19">
        <f t="shared" si="0"/>
        <v>66707.09</v>
      </c>
      <c r="M203" s="8" t="s">
        <v>912</v>
      </c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957.6</v>
      </c>
      <c r="G204" s="18">
        <v>73.671360000000007</v>
      </c>
      <c r="H204" s="18">
        <v>248589.37940000001</v>
      </c>
      <c r="I204" s="18">
        <v>141.81098</v>
      </c>
      <c r="J204" s="18"/>
      <c r="K204" s="18">
        <v>1897.047</v>
      </c>
      <c r="L204" s="19">
        <f t="shared" si="0"/>
        <v>251659.50874000002</v>
      </c>
      <c r="M204" s="8" t="s">
        <v>912</v>
      </c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129794.56</v>
      </c>
      <c r="G205" s="18">
        <v>66595.990000000005</v>
      </c>
      <c r="H205" s="18">
        <v>10313.31</v>
      </c>
      <c r="I205" s="18">
        <v>674.26</v>
      </c>
      <c r="J205" s="18"/>
      <c r="K205" s="18">
        <v>984</v>
      </c>
      <c r="L205" s="19">
        <f t="shared" si="0"/>
        <v>208362.12</v>
      </c>
      <c r="M205" s="8" t="s">
        <v>912</v>
      </c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112913.38</v>
      </c>
      <c r="G207" s="18">
        <v>66640.33</v>
      </c>
      <c r="H207" s="18">
        <v>47150.472999999998</v>
      </c>
      <c r="I207" s="18">
        <v>53582.07</v>
      </c>
      <c r="J207" s="18">
        <v>1063.98</v>
      </c>
      <c r="K207" s="18"/>
      <c r="L207" s="19">
        <f t="shared" si="0"/>
        <v>281350.23300000001</v>
      </c>
      <c r="M207" s="8" t="s">
        <v>912</v>
      </c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167947.61</v>
      </c>
      <c r="I208" s="18">
        <v>24123.69</v>
      </c>
      <c r="J208" s="18"/>
      <c r="K208" s="18"/>
      <c r="L208" s="19">
        <f t="shared" si="0"/>
        <v>192071.3</v>
      </c>
      <c r="M208" s="8" t="s">
        <v>912</v>
      </c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13285.46</v>
      </c>
      <c r="G209" s="18">
        <v>7441.9</v>
      </c>
      <c r="H209" s="18"/>
      <c r="I209" s="18"/>
      <c r="J209" s="18"/>
      <c r="K209" s="18"/>
      <c r="L209" s="19">
        <f>SUM(F209:K209)</f>
        <v>20727.36</v>
      </c>
      <c r="M209" s="8" t="s">
        <v>912</v>
      </c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2150564.98</v>
      </c>
      <c r="G211" s="41">
        <f t="shared" si="1"/>
        <v>879774.13136</v>
      </c>
      <c r="H211" s="41">
        <f t="shared" si="1"/>
        <v>814789.78240000003</v>
      </c>
      <c r="I211" s="41">
        <f t="shared" si="1"/>
        <v>161812.00097999998</v>
      </c>
      <c r="J211" s="41">
        <f t="shared" si="1"/>
        <v>31504.100000000002</v>
      </c>
      <c r="K211" s="41">
        <f t="shared" si="1"/>
        <v>3251.047</v>
      </c>
      <c r="L211" s="41">
        <f t="shared" si="1"/>
        <v>4041696.0417399998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>
        <v>1155421.6200000001</v>
      </c>
      <c r="G215" s="18">
        <v>426533.24</v>
      </c>
      <c r="H215" s="18">
        <v>40852.980000000003</v>
      </c>
      <c r="I215" s="18">
        <v>67030.25</v>
      </c>
      <c r="J215" s="18">
        <v>4005.52</v>
      </c>
      <c r="K215" s="18"/>
      <c r="L215" s="19">
        <f>SUM(F215:K215)</f>
        <v>1693843.61</v>
      </c>
      <c r="M215" s="8" t="s">
        <v>912</v>
      </c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>
        <v>401062.46</v>
      </c>
      <c r="G216" s="18">
        <v>118273.2</v>
      </c>
      <c r="H216" s="18">
        <v>335779.65</v>
      </c>
      <c r="I216" s="18">
        <v>2540.67</v>
      </c>
      <c r="J216" s="18">
        <v>846.82</v>
      </c>
      <c r="K216" s="18">
        <v>225</v>
      </c>
      <c r="L216" s="19">
        <f>SUM(F216:K216)</f>
        <v>858727.8</v>
      </c>
      <c r="M216" s="8" t="s">
        <v>912</v>
      </c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>
        <v>34737.919999999998</v>
      </c>
      <c r="G218" s="18">
        <v>10400.75</v>
      </c>
      <c r="H218" s="18">
        <v>9835.81</v>
      </c>
      <c r="I218" s="18">
        <v>3530.2</v>
      </c>
      <c r="J218" s="18">
        <v>2609.31</v>
      </c>
      <c r="K218" s="18">
        <v>967.5</v>
      </c>
      <c r="L218" s="19">
        <f>SUM(F218:K218)</f>
        <v>62081.489999999991</v>
      </c>
      <c r="M218" s="8" t="s">
        <v>912</v>
      </c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>
        <v>158720.67000000001</v>
      </c>
      <c r="G220" s="18">
        <v>59933.39</v>
      </c>
      <c r="H220" s="18">
        <v>186588.5</v>
      </c>
      <c r="I220" s="18">
        <v>1988.16</v>
      </c>
      <c r="J220" s="18">
        <v>1056.67</v>
      </c>
      <c r="K220" s="18">
        <v>493</v>
      </c>
      <c r="L220" s="19">
        <f t="shared" ref="L220:L226" si="2">SUM(F220:K220)</f>
        <v>408780.38999999996</v>
      </c>
      <c r="M220" s="8" t="s">
        <v>912</v>
      </c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>
        <v>16017.57</v>
      </c>
      <c r="G221" s="18">
        <v>15191.22</v>
      </c>
      <c r="H221" s="18">
        <v>14703.74</v>
      </c>
      <c r="I221" s="18">
        <v>9498.11</v>
      </c>
      <c r="J221" s="18">
        <v>36318.620000000003</v>
      </c>
      <c r="K221" s="18"/>
      <c r="L221" s="19">
        <f t="shared" si="2"/>
        <v>91729.260000000009</v>
      </c>
      <c r="M221" s="8" t="s">
        <v>912</v>
      </c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867.3</v>
      </c>
      <c r="G222" s="18">
        <v>66.724279999999993</v>
      </c>
      <c r="H222" s="18">
        <v>225147.83790000001</v>
      </c>
      <c r="I222" s="18">
        <v>128.43845999999999</v>
      </c>
      <c r="J222" s="18"/>
      <c r="K222" s="18">
        <v>1718.1590000000001</v>
      </c>
      <c r="L222" s="19">
        <f t="shared" si="2"/>
        <v>227928.45964000004</v>
      </c>
      <c r="M222" s="8" t="s">
        <v>912</v>
      </c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>
        <v>201463.11</v>
      </c>
      <c r="G223" s="18">
        <v>116525.19</v>
      </c>
      <c r="H223" s="18">
        <v>11585.09</v>
      </c>
      <c r="I223" s="18">
        <v>1991.08</v>
      </c>
      <c r="J223" s="18"/>
      <c r="K223" s="18">
        <v>3904.46</v>
      </c>
      <c r="L223" s="19">
        <f t="shared" si="2"/>
        <v>335468.93000000005</v>
      </c>
      <c r="M223" s="8" t="s">
        <v>912</v>
      </c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>
        <v>153385.64000000001</v>
      </c>
      <c r="G225" s="18">
        <v>74553.16</v>
      </c>
      <c r="H225" s="18">
        <v>58672.69</v>
      </c>
      <c r="I225" s="18">
        <v>134506.43</v>
      </c>
      <c r="J225" s="18">
        <v>2913.84</v>
      </c>
      <c r="K225" s="18"/>
      <c r="L225" s="19">
        <f t="shared" si="2"/>
        <v>424031.76</v>
      </c>
      <c r="M225" s="8" t="s">
        <v>912</v>
      </c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181900.85</v>
      </c>
      <c r="I226" s="18">
        <v>17804.849999999999</v>
      </c>
      <c r="J226" s="18"/>
      <c r="K226" s="18"/>
      <c r="L226" s="19">
        <f t="shared" si="2"/>
        <v>199705.7</v>
      </c>
      <c r="M226" s="8" t="s">
        <v>912</v>
      </c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>
        <v>9805.5319999999992</v>
      </c>
      <c r="G227" s="18">
        <v>5492.6049999999996</v>
      </c>
      <c r="H227" s="18"/>
      <c r="I227" s="18"/>
      <c r="J227" s="18"/>
      <c r="K227" s="18"/>
      <c r="L227" s="19">
        <f>SUM(F227:K227)</f>
        <v>15298.136999999999</v>
      </c>
      <c r="M227" s="8" t="s">
        <v>912</v>
      </c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2131481.8220000002</v>
      </c>
      <c r="G229" s="41">
        <f>SUM(G215:G228)</f>
        <v>826969.47927999997</v>
      </c>
      <c r="H229" s="41">
        <f>SUM(H215:H228)</f>
        <v>1065067.1479</v>
      </c>
      <c r="I229" s="41">
        <f>SUM(I215:I228)</f>
        <v>239018.18846</v>
      </c>
      <c r="J229" s="41">
        <f>SUM(J215:J228)</f>
        <v>47750.78</v>
      </c>
      <c r="K229" s="41">
        <f t="shared" si="3"/>
        <v>7308.1190000000006</v>
      </c>
      <c r="L229" s="41">
        <f t="shared" si="3"/>
        <v>4317595.5366400015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v>1182807.3600000001</v>
      </c>
      <c r="G233" s="18">
        <v>424615.92</v>
      </c>
      <c r="H233" s="18">
        <v>50441.93</v>
      </c>
      <c r="I233" s="18">
        <v>62747.56</v>
      </c>
      <c r="J233" s="18">
        <v>15649.57</v>
      </c>
      <c r="K233" s="18">
        <v>5775</v>
      </c>
      <c r="L233" s="19">
        <f>SUM(F233:K233)</f>
        <v>1742037.34</v>
      </c>
      <c r="M233" s="8" t="s">
        <v>912</v>
      </c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464561.69</v>
      </c>
      <c r="G234" s="18">
        <v>180210.31</v>
      </c>
      <c r="H234" s="18">
        <v>384253.98</v>
      </c>
      <c r="I234" s="18">
        <v>2152.38</v>
      </c>
      <c r="J234" s="18">
        <v>1104.82</v>
      </c>
      <c r="K234" s="18">
        <v>225</v>
      </c>
      <c r="L234" s="19">
        <f>SUM(F234:K234)</f>
        <v>1032508.1799999999</v>
      </c>
      <c r="M234" s="8" t="s">
        <v>912</v>
      </c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>
        <v>69890.81</v>
      </c>
      <c r="I235" s="18"/>
      <c r="J235" s="18"/>
      <c r="K235" s="18"/>
      <c r="L235" s="19">
        <f>SUM(F235:K235)</f>
        <v>69890.81</v>
      </c>
      <c r="M235" s="8" t="s">
        <v>912</v>
      </c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95981.7</v>
      </c>
      <c r="G236" s="18">
        <f>715.13+1348.55+4.6+18800.04+905.72+52.13+6588.13+45.27+7715.29+1219+206.18</f>
        <v>37600.04</v>
      </c>
      <c r="H236" s="18">
        <v>34567.74</v>
      </c>
      <c r="I236" s="18">
        <v>12251.91</v>
      </c>
      <c r="J236" s="18">
        <v>12655.42</v>
      </c>
      <c r="K236" s="18">
        <v>8364.65</v>
      </c>
      <c r="L236" s="19">
        <f>SUM(F236:K236)</f>
        <v>201421.46</v>
      </c>
      <c r="M236" s="8" t="s">
        <v>912</v>
      </c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231156.15</v>
      </c>
      <c r="G238" s="18">
        <v>96045.43</v>
      </c>
      <c r="H238" s="18">
        <v>166578.69</v>
      </c>
      <c r="I238" s="18">
        <v>4058.79</v>
      </c>
      <c r="J238" s="18">
        <v>1166.69</v>
      </c>
      <c r="K238" s="18">
        <v>478</v>
      </c>
      <c r="L238" s="19">
        <f t="shared" ref="L238:L244" si="4">SUM(F238:K238)</f>
        <v>499483.74999999994</v>
      </c>
      <c r="M238" s="8" t="s">
        <v>912</v>
      </c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58178.07</v>
      </c>
      <c r="G239" s="18">
        <v>35932.57</v>
      </c>
      <c r="H239" s="18">
        <v>14030.11</v>
      </c>
      <c r="I239" s="18">
        <v>3240.89</v>
      </c>
      <c r="J239" s="18">
        <v>51179.88</v>
      </c>
      <c r="K239" s="18"/>
      <c r="L239" s="19">
        <f t="shared" si="4"/>
        <v>162561.51999999999</v>
      </c>
      <c r="M239" s="8" t="s">
        <v>912</v>
      </c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1175.0999999999999</v>
      </c>
      <c r="G240" s="18">
        <v>90.404359999999997</v>
      </c>
      <c r="H240" s="18">
        <v>305051.58870000002</v>
      </c>
      <c r="I240" s="18">
        <v>174.02055999999999</v>
      </c>
      <c r="J240" s="18"/>
      <c r="K240" s="18">
        <v>2327.924</v>
      </c>
      <c r="L240" s="19">
        <f t="shared" si="4"/>
        <v>308819.03762000002</v>
      </c>
      <c r="M240" s="8" t="s">
        <v>912</v>
      </c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223149.34</v>
      </c>
      <c r="G241" s="18">
        <v>95907.66</v>
      </c>
      <c r="H241" s="18">
        <v>18658.599999999999</v>
      </c>
      <c r="I241" s="18">
        <v>631.16</v>
      </c>
      <c r="J241" s="18"/>
      <c r="K241" s="18">
        <v>9315.24</v>
      </c>
      <c r="L241" s="19">
        <f t="shared" si="4"/>
        <v>347661.99999999994</v>
      </c>
      <c r="M241" s="8" t="s">
        <v>912</v>
      </c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165093.41</v>
      </c>
      <c r="G243" s="18">
        <v>76437.11</v>
      </c>
      <c r="H243" s="18">
        <v>102608.33</v>
      </c>
      <c r="I243" s="18">
        <v>146167.10999999999</v>
      </c>
      <c r="J243" s="18">
        <v>18371.2</v>
      </c>
      <c r="K243" s="18"/>
      <c r="L243" s="19">
        <f t="shared" si="4"/>
        <v>508677.16000000003</v>
      </c>
      <c r="M243" s="8" t="s">
        <v>912</v>
      </c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278414.38</v>
      </c>
      <c r="I244" s="18">
        <v>19658.62</v>
      </c>
      <c r="J244" s="18"/>
      <c r="K244" s="18"/>
      <c r="L244" s="19">
        <f t="shared" si="4"/>
        <v>298073</v>
      </c>
      <c r="M244" s="8" t="s">
        <v>912</v>
      </c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v>10826.45</v>
      </c>
      <c r="G245" s="18">
        <v>6064.4740000000002</v>
      </c>
      <c r="H245" s="18"/>
      <c r="I245" s="18"/>
      <c r="J245" s="18"/>
      <c r="K245" s="18"/>
      <c r="L245" s="19">
        <f>SUM(F245:K245)</f>
        <v>16890.923999999999</v>
      </c>
      <c r="M245" s="8" t="s">
        <v>912</v>
      </c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2432929.2700000005</v>
      </c>
      <c r="G247" s="41">
        <f t="shared" si="5"/>
        <v>952903.91836000001</v>
      </c>
      <c r="H247" s="41">
        <f t="shared" si="5"/>
        <v>1424496.1587</v>
      </c>
      <c r="I247" s="41">
        <f t="shared" si="5"/>
        <v>251082.44055999996</v>
      </c>
      <c r="J247" s="41">
        <f t="shared" si="5"/>
        <v>100127.57999999999</v>
      </c>
      <c r="K247" s="41">
        <f t="shared" si="5"/>
        <v>26485.813999999998</v>
      </c>
      <c r="L247" s="41">
        <f t="shared" si="5"/>
        <v>5188025.1816199999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>
        <v>17253</v>
      </c>
      <c r="G251" s="18">
        <v>1645.76</v>
      </c>
      <c r="H251" s="18"/>
      <c r="I251" s="18">
        <v>1297</v>
      </c>
      <c r="J251" s="18"/>
      <c r="K251" s="18"/>
      <c r="L251" s="19">
        <f t="shared" si="6"/>
        <v>20195.759999999998</v>
      </c>
      <c r="M251" s="8" t="s">
        <v>912</v>
      </c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17253</v>
      </c>
      <c r="G256" s="41">
        <f t="shared" si="7"/>
        <v>1645.76</v>
      </c>
      <c r="H256" s="41">
        <f t="shared" si="7"/>
        <v>0</v>
      </c>
      <c r="I256" s="41">
        <f t="shared" si="7"/>
        <v>1297</v>
      </c>
      <c r="J256" s="41">
        <f t="shared" si="7"/>
        <v>0</v>
      </c>
      <c r="K256" s="41">
        <f t="shared" si="7"/>
        <v>0</v>
      </c>
      <c r="L256" s="41">
        <f>SUM(F256:K256)</f>
        <v>20195.759999999998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6732229.0720000006</v>
      </c>
      <c r="G257" s="41">
        <f t="shared" si="8"/>
        <v>2661293.2889999999</v>
      </c>
      <c r="H257" s="41">
        <f t="shared" si="8"/>
        <v>3304353.0890000002</v>
      </c>
      <c r="I257" s="41">
        <f t="shared" si="8"/>
        <v>653209.62999999989</v>
      </c>
      <c r="J257" s="41">
        <f t="shared" si="8"/>
        <v>179382.46</v>
      </c>
      <c r="K257" s="41">
        <f t="shared" si="8"/>
        <v>37044.979999999996</v>
      </c>
      <c r="L257" s="41">
        <f t="shared" si="8"/>
        <v>13567512.520000001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334662.58</v>
      </c>
      <c r="L260" s="19">
        <f>SUM(F260:K260)</f>
        <v>334662.58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71490.2</v>
      </c>
      <c r="L261" s="19">
        <f>SUM(F261:K261)</f>
        <v>71490.2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406152.78</v>
      </c>
      <c r="L270" s="41">
        <f t="shared" si="9"/>
        <v>406152.78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6732229.0720000006</v>
      </c>
      <c r="G271" s="42">
        <f t="shared" si="11"/>
        <v>2661293.2889999999</v>
      </c>
      <c r="H271" s="42">
        <f t="shared" si="11"/>
        <v>3304353.0890000002</v>
      </c>
      <c r="I271" s="42">
        <f t="shared" si="11"/>
        <v>653209.62999999989</v>
      </c>
      <c r="J271" s="42">
        <f t="shared" si="11"/>
        <v>179382.46</v>
      </c>
      <c r="K271" s="42">
        <f t="shared" si="11"/>
        <v>443197.76</v>
      </c>
      <c r="L271" s="42">
        <f t="shared" si="11"/>
        <v>13973665.300000001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/>
      <c r="I276" s="18"/>
      <c r="J276" s="18"/>
      <c r="K276" s="18"/>
      <c r="L276" s="19">
        <f>SUM(F276:K276)</f>
        <v>0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0</v>
      </c>
      <c r="I290" s="42">
        <f t="shared" si="13"/>
        <v>0</v>
      </c>
      <c r="J290" s="42">
        <f t="shared" si="13"/>
        <v>0</v>
      </c>
      <c r="K290" s="42">
        <f t="shared" si="13"/>
        <v>0</v>
      </c>
      <c r="L290" s="41">
        <f t="shared" si="13"/>
        <v>0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0</v>
      </c>
      <c r="I338" s="41">
        <f t="shared" si="20"/>
        <v>0</v>
      </c>
      <c r="J338" s="41">
        <f t="shared" si="20"/>
        <v>0</v>
      </c>
      <c r="K338" s="41">
        <f t="shared" si="20"/>
        <v>0</v>
      </c>
      <c r="L338" s="41">
        <f t="shared" si="20"/>
        <v>0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0</v>
      </c>
      <c r="G352" s="41">
        <f>G338</f>
        <v>0</v>
      </c>
      <c r="H352" s="41">
        <f>H338</f>
        <v>0</v>
      </c>
      <c r="I352" s="41">
        <f>I338</f>
        <v>0</v>
      </c>
      <c r="J352" s="41">
        <f>J338</f>
        <v>0</v>
      </c>
      <c r="K352" s="47">
        <f>K338+K351</f>
        <v>0</v>
      </c>
      <c r="L352" s="41">
        <f>L338+L351</f>
        <v>0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90710.33</v>
      </c>
      <c r="G358" s="18">
        <v>33129.050000000003</v>
      </c>
      <c r="H358" s="18">
        <v>2789.06</v>
      </c>
      <c r="I358" s="18">
        <v>109786.54</v>
      </c>
      <c r="J358" s="18">
        <v>6036.55</v>
      </c>
      <c r="K358" s="18">
        <v>287.06</v>
      </c>
      <c r="L358" s="13">
        <f>SUM(F358:K358)</f>
        <v>242738.58999999997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>
        <v>68692.45</v>
      </c>
      <c r="G359" s="18">
        <v>22448.85</v>
      </c>
      <c r="H359" s="18">
        <v>2058.5</v>
      </c>
      <c r="I359" s="18">
        <v>82629.759999999995</v>
      </c>
      <c r="J359" s="18">
        <v>4455.37</v>
      </c>
      <c r="K359" s="18">
        <v>211.87</v>
      </c>
      <c r="L359" s="19">
        <f>SUM(F359:K359)</f>
        <v>180496.8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v>87066.85</v>
      </c>
      <c r="G360" s="18">
        <v>32761.119999999999</v>
      </c>
      <c r="H360" s="18">
        <v>2272.83</v>
      </c>
      <c r="I360" s="18">
        <v>83803.539999999994</v>
      </c>
      <c r="J360" s="18">
        <v>4919.24</v>
      </c>
      <c r="K360" s="18">
        <v>233.93</v>
      </c>
      <c r="L360" s="19">
        <f>SUM(F360:K360)</f>
        <v>211057.50999999998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246469.63</v>
      </c>
      <c r="G362" s="47">
        <f t="shared" si="22"/>
        <v>88339.02</v>
      </c>
      <c r="H362" s="47">
        <f t="shared" si="22"/>
        <v>7120.3899999999994</v>
      </c>
      <c r="I362" s="47">
        <f t="shared" si="22"/>
        <v>276219.83999999997</v>
      </c>
      <c r="J362" s="47">
        <f t="shared" si="22"/>
        <v>15411.16</v>
      </c>
      <c r="K362" s="47">
        <f t="shared" si="22"/>
        <v>732.86</v>
      </c>
      <c r="L362" s="47">
        <f t="shared" si="22"/>
        <v>634292.89999999991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103895</v>
      </c>
      <c r="G367" s="18">
        <v>78281.42</v>
      </c>
      <c r="H367" s="18">
        <v>79002.460000000006</v>
      </c>
      <c r="I367" s="56">
        <f>SUM(F367:H367)</f>
        <v>261178.88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5891.5439999999999</v>
      </c>
      <c r="G368" s="63">
        <v>4348.3419999999996</v>
      </c>
      <c r="H368" s="63">
        <v>4801.0739999999996</v>
      </c>
      <c r="I368" s="56">
        <f>SUM(F368:H368)</f>
        <v>15040.96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109786.54399999999</v>
      </c>
      <c r="G369" s="47">
        <f>SUM(G367:G368)</f>
        <v>82629.762000000002</v>
      </c>
      <c r="H369" s="47">
        <f>SUM(H367:H368)</f>
        <v>83803.534</v>
      </c>
      <c r="I369" s="47">
        <f>SUM(I367:I368)</f>
        <v>276219.84000000003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>
        <v>261954</v>
      </c>
      <c r="H440" s="18"/>
      <c r="I440" s="56">
        <f t="shared" si="33"/>
        <v>261954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261954</v>
      </c>
      <c r="H446" s="13">
        <f>SUM(H439:H445)</f>
        <v>0</v>
      </c>
      <c r="I446" s="13">
        <f>SUM(I439:I445)</f>
        <v>261954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261954</v>
      </c>
      <c r="H459" s="18"/>
      <c r="I459" s="56">
        <f t="shared" si="34"/>
        <v>261954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261954</v>
      </c>
      <c r="H460" s="83">
        <f>SUM(H454:H459)</f>
        <v>0</v>
      </c>
      <c r="I460" s="83">
        <f>SUM(I454:I459)</f>
        <v>261954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261954</v>
      </c>
      <c r="H461" s="42">
        <f>H452+H460</f>
        <v>0</v>
      </c>
      <c r="I461" s="42">
        <f>I452+I460</f>
        <v>261954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904</v>
      </c>
      <c r="B465" s="105">
        <v>19</v>
      </c>
      <c r="C465" s="111">
        <v>1</v>
      </c>
      <c r="D465" s="2" t="s">
        <v>433</v>
      </c>
      <c r="E465" s="111"/>
      <c r="F465" s="18">
        <v>711485</v>
      </c>
      <c r="G465" s="18">
        <v>17788</v>
      </c>
      <c r="H465" s="18"/>
      <c r="I465" s="18"/>
      <c r="J465" s="18">
        <v>261954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13813375.34</v>
      </c>
      <c r="G468" s="18">
        <v>571999.1</v>
      </c>
      <c r="H468" s="18"/>
      <c r="I468" s="18"/>
      <c r="J468" s="18"/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>
        <v>73203.960000000006</v>
      </c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13813375.34</v>
      </c>
      <c r="G470" s="53">
        <f>SUM(G468:G469)</f>
        <v>645203.05999999994</v>
      </c>
      <c r="H470" s="53">
        <f>SUM(H468:H469)</f>
        <v>0</v>
      </c>
      <c r="I470" s="53">
        <f>SUM(I468:I469)</f>
        <v>0</v>
      </c>
      <c r="J470" s="53">
        <f>SUM(J468:J469)</f>
        <v>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13973665.300000001</v>
      </c>
      <c r="G472" s="18">
        <v>634292.9</v>
      </c>
      <c r="H472" s="18"/>
      <c r="I472" s="18"/>
      <c r="J472" s="18"/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13973665.300000001</v>
      </c>
      <c r="G474" s="53">
        <f>SUM(G472:G473)</f>
        <v>634292.9</v>
      </c>
      <c r="H474" s="53">
        <f>SUM(H472:H473)</f>
        <v>0</v>
      </c>
      <c r="I474" s="53">
        <f>SUM(I472:I473)</f>
        <v>0</v>
      </c>
      <c r="J474" s="53">
        <f>SUM(J472:J473)</f>
        <v>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903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551195.03999999911</v>
      </c>
      <c r="G476" s="53">
        <f>(G465+G470)- G474</f>
        <v>28698.159999999916</v>
      </c>
      <c r="H476" s="53">
        <f>(H465+H470)- H474</f>
        <v>0</v>
      </c>
      <c r="I476" s="53">
        <f>(I465+I470)- I474</f>
        <v>0</v>
      </c>
      <c r="J476" s="53">
        <f>(J465+J470)- J474</f>
        <v>261954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20</v>
      </c>
      <c r="G490" s="154">
        <v>20</v>
      </c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913</v>
      </c>
      <c r="G491" s="155" t="s">
        <v>914</v>
      </c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915</v>
      </c>
      <c r="G492" s="155" t="s">
        <v>916</v>
      </c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5010376</v>
      </c>
      <c r="G493" s="18">
        <v>2700000</v>
      </c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5.2</v>
      </c>
      <c r="G494" s="18">
        <v>4.26</v>
      </c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1250000</v>
      </c>
      <c r="G495" s="18">
        <v>1865078.25</v>
      </c>
      <c r="H495" s="18"/>
      <c r="I495" s="18"/>
      <c r="J495" s="18"/>
      <c r="K495" s="53">
        <f>SUM(F495:J495)</f>
        <v>3115078.25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>
        <v>0</v>
      </c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250000</v>
      </c>
      <c r="G497" s="18">
        <v>142105.26</v>
      </c>
      <c r="H497" s="18"/>
      <c r="I497" s="18"/>
      <c r="J497" s="18"/>
      <c r="K497" s="53">
        <f t="shared" si="35"/>
        <v>392105.26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1000000</v>
      </c>
      <c r="G498" s="204">
        <v>1722972.969</v>
      </c>
      <c r="H498" s="204"/>
      <c r="I498" s="204"/>
      <c r="J498" s="204"/>
      <c r="K498" s="205">
        <f t="shared" si="35"/>
        <v>2722972.969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172761</v>
      </c>
      <c r="G499" s="18">
        <v>394812.33</v>
      </c>
      <c r="H499" s="18"/>
      <c r="I499" s="18"/>
      <c r="J499" s="18"/>
      <c r="K499" s="53">
        <f t="shared" si="35"/>
        <v>567573.33000000007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1172761</v>
      </c>
      <c r="G500" s="42">
        <f>SUM(G498:G499)</f>
        <v>2117785.2990000001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3290546.2990000001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250000</v>
      </c>
      <c r="G501" s="204">
        <v>142105.26</v>
      </c>
      <c r="H501" s="204"/>
      <c r="I501" s="204"/>
      <c r="J501" s="204"/>
      <c r="K501" s="205">
        <f t="shared" si="35"/>
        <v>392105.26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65000</v>
      </c>
      <c r="G502" s="18">
        <v>78819</v>
      </c>
      <c r="H502" s="18"/>
      <c r="I502" s="18"/>
      <c r="J502" s="18"/>
      <c r="K502" s="53">
        <f t="shared" si="35"/>
        <v>143819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315000</v>
      </c>
      <c r="G503" s="42">
        <f>SUM(G501:G502)</f>
        <v>220924.26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535924.26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484068.84</v>
      </c>
      <c r="G521" s="18">
        <v>185712.19</v>
      </c>
      <c r="H521" s="18">
        <v>60329.54</v>
      </c>
      <c r="I521" s="18">
        <v>3201.05</v>
      </c>
      <c r="J521" s="18">
        <v>846.83</v>
      </c>
      <c r="K521" s="18"/>
      <c r="L521" s="88">
        <f>SUM(F521:K521)</f>
        <v>734158.45000000007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357274.2</v>
      </c>
      <c r="G522" s="18">
        <v>137067.63</v>
      </c>
      <c r="H522" s="18">
        <v>335779.65</v>
      </c>
      <c r="I522" s="18">
        <v>2540.67</v>
      </c>
      <c r="J522" s="18">
        <v>846.82</v>
      </c>
      <c r="K522" s="18">
        <v>100</v>
      </c>
      <c r="L522" s="88">
        <f>SUM(F522:K522)</f>
        <v>833608.97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394472.24</v>
      </c>
      <c r="G523" s="18">
        <v>151338.6</v>
      </c>
      <c r="H523" s="18">
        <v>384253.98</v>
      </c>
      <c r="I523" s="18">
        <v>2152.38</v>
      </c>
      <c r="J523" s="18">
        <v>1104.82</v>
      </c>
      <c r="K523" s="18"/>
      <c r="L523" s="88">
        <f>SUM(F523:K523)</f>
        <v>933322.0199999999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1235815.28</v>
      </c>
      <c r="G524" s="108">
        <f t="shared" ref="G524:L524" si="36">SUM(G521:G523)</f>
        <v>474118.42000000004</v>
      </c>
      <c r="H524" s="108">
        <f t="shared" si="36"/>
        <v>780363.16999999993</v>
      </c>
      <c r="I524" s="108">
        <f t="shared" si="36"/>
        <v>7894.1</v>
      </c>
      <c r="J524" s="108">
        <f t="shared" si="36"/>
        <v>2798.4700000000003</v>
      </c>
      <c r="K524" s="108">
        <f t="shared" si="36"/>
        <v>100</v>
      </c>
      <c r="L524" s="89">
        <f t="shared" si="36"/>
        <v>2501089.44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241898.91</v>
      </c>
      <c r="G526" s="18">
        <v>91021.72</v>
      </c>
      <c r="H526" s="18">
        <v>236790.62</v>
      </c>
      <c r="I526" s="18">
        <v>3661.98</v>
      </c>
      <c r="J526" s="18">
        <v>1431.69</v>
      </c>
      <c r="K526" s="18"/>
      <c r="L526" s="88">
        <f>SUM(F526:K526)</f>
        <v>574804.91999999993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>
        <v>158720.67000000001</v>
      </c>
      <c r="G527" s="18">
        <v>59933.39</v>
      </c>
      <c r="H527" s="18">
        <v>186588.5</v>
      </c>
      <c r="I527" s="18">
        <v>1988.16</v>
      </c>
      <c r="J527" s="18">
        <v>1056.67</v>
      </c>
      <c r="K527" s="18"/>
      <c r="L527" s="88">
        <f>SUM(F527:K527)</f>
        <v>408287.38999999996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231156.15</v>
      </c>
      <c r="G528" s="18">
        <v>96045.43</v>
      </c>
      <c r="H528" s="18">
        <v>166578.69</v>
      </c>
      <c r="I528" s="18">
        <v>4058.79</v>
      </c>
      <c r="J528" s="18">
        <v>1166.69</v>
      </c>
      <c r="K528" s="18"/>
      <c r="L528" s="88">
        <f>SUM(F528:K528)</f>
        <v>499005.74999999994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631775.73</v>
      </c>
      <c r="G529" s="89">
        <f t="shared" ref="G529:L529" si="37">SUM(G526:G528)</f>
        <v>247000.53999999998</v>
      </c>
      <c r="H529" s="89">
        <f t="shared" si="37"/>
        <v>589957.81000000006</v>
      </c>
      <c r="I529" s="89">
        <f t="shared" si="37"/>
        <v>9708.93</v>
      </c>
      <c r="J529" s="89">
        <f t="shared" si="37"/>
        <v>3655.05</v>
      </c>
      <c r="K529" s="89">
        <f t="shared" si="37"/>
        <v>0</v>
      </c>
      <c r="L529" s="89">
        <f t="shared" si="37"/>
        <v>1482098.0599999998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41720.36</v>
      </c>
      <c r="G531" s="18">
        <v>8521.8799999999992</v>
      </c>
      <c r="H531" s="18">
        <v>79</v>
      </c>
      <c r="I531" s="18">
        <v>1609.39</v>
      </c>
      <c r="J531" s="18"/>
      <c r="K531" s="18">
        <v>225</v>
      </c>
      <c r="L531" s="88">
        <f>SUM(F531:K531)</f>
        <v>52155.63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30792.33</v>
      </c>
      <c r="G532" s="18">
        <v>6289.71</v>
      </c>
      <c r="H532" s="18">
        <v>90</v>
      </c>
      <c r="I532" s="18">
        <v>670.85</v>
      </c>
      <c r="J532" s="18"/>
      <c r="K532" s="18">
        <v>125</v>
      </c>
      <c r="L532" s="88">
        <f>SUM(F532:K532)</f>
        <v>37967.89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33998.31</v>
      </c>
      <c r="G533" s="18">
        <v>6944.57</v>
      </c>
      <c r="H533" s="18">
        <v>79</v>
      </c>
      <c r="I533" s="18">
        <v>740.7</v>
      </c>
      <c r="J533" s="18"/>
      <c r="K533" s="18">
        <v>225</v>
      </c>
      <c r="L533" s="88">
        <f>SUM(F533:K533)</f>
        <v>41987.579999999994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106511</v>
      </c>
      <c r="G534" s="89">
        <f t="shared" ref="G534:L534" si="38">SUM(G531:G533)</f>
        <v>21756.16</v>
      </c>
      <c r="H534" s="89">
        <f t="shared" si="38"/>
        <v>248</v>
      </c>
      <c r="I534" s="89">
        <f t="shared" si="38"/>
        <v>3020.9400000000005</v>
      </c>
      <c r="J534" s="89">
        <f t="shared" si="38"/>
        <v>0</v>
      </c>
      <c r="K534" s="89">
        <f t="shared" si="38"/>
        <v>575</v>
      </c>
      <c r="L534" s="89">
        <f t="shared" si="38"/>
        <v>132111.09999999998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3205.87</v>
      </c>
      <c r="I536" s="18"/>
      <c r="J536" s="18"/>
      <c r="K536" s="18"/>
      <c r="L536" s="88">
        <f>SUM(F536:K536)</f>
        <v>3205.87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>
        <v>2366.14</v>
      </c>
      <c r="I537" s="18"/>
      <c r="J537" s="18"/>
      <c r="K537" s="18"/>
      <c r="L537" s="88">
        <f>SUM(F537:K537)</f>
        <v>2366.14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v>2612.4899999999998</v>
      </c>
      <c r="I538" s="18"/>
      <c r="J538" s="18"/>
      <c r="K538" s="18"/>
      <c r="L538" s="88">
        <f>SUM(F538:K538)</f>
        <v>2612.4899999999998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8184.5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8184.5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58971.72</v>
      </c>
      <c r="I541" s="18"/>
      <c r="J541" s="18"/>
      <c r="K541" s="18"/>
      <c r="L541" s="88">
        <f>SUM(F541:K541)</f>
        <v>58971.72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>
        <v>88869.14</v>
      </c>
      <c r="I542" s="18"/>
      <c r="J542" s="18"/>
      <c r="K542" s="18"/>
      <c r="L542" s="88">
        <f>SUM(F542:K542)</f>
        <v>88869.14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109962.99</v>
      </c>
      <c r="I543" s="18"/>
      <c r="J543" s="18"/>
      <c r="K543" s="18"/>
      <c r="L543" s="88">
        <f>SUM(F543:K543)</f>
        <v>109962.99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257803.84999999998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257803.84999999998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1974102.01</v>
      </c>
      <c r="G545" s="89">
        <f t="shared" ref="G545:L545" si="41">G524+G529+G534+G539+G544</f>
        <v>742875.12</v>
      </c>
      <c r="H545" s="89">
        <f t="shared" si="41"/>
        <v>1636557.33</v>
      </c>
      <c r="I545" s="89">
        <f t="shared" si="41"/>
        <v>20623.97</v>
      </c>
      <c r="J545" s="89">
        <f t="shared" si="41"/>
        <v>6453.52</v>
      </c>
      <c r="K545" s="89">
        <f t="shared" si="41"/>
        <v>675</v>
      </c>
      <c r="L545" s="89">
        <f t="shared" si="41"/>
        <v>4381286.95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734158.45000000007</v>
      </c>
      <c r="G549" s="87">
        <f>L526</f>
        <v>574804.91999999993</v>
      </c>
      <c r="H549" s="87">
        <f>L531</f>
        <v>52155.63</v>
      </c>
      <c r="I549" s="87">
        <f>L536</f>
        <v>3205.87</v>
      </c>
      <c r="J549" s="87">
        <f>L541</f>
        <v>58971.72</v>
      </c>
      <c r="K549" s="87">
        <f>SUM(F549:J549)</f>
        <v>1423296.59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833608.97</v>
      </c>
      <c r="G550" s="87">
        <f>L527</f>
        <v>408287.38999999996</v>
      </c>
      <c r="H550" s="87">
        <f>L532</f>
        <v>37967.89</v>
      </c>
      <c r="I550" s="87">
        <f>L537</f>
        <v>2366.14</v>
      </c>
      <c r="J550" s="87">
        <f>L542</f>
        <v>88869.14</v>
      </c>
      <c r="K550" s="87">
        <f>SUM(F550:J550)</f>
        <v>1371099.5299999996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933322.0199999999</v>
      </c>
      <c r="G551" s="87">
        <f>L528</f>
        <v>499005.74999999994</v>
      </c>
      <c r="H551" s="87">
        <f>L533</f>
        <v>41987.579999999994</v>
      </c>
      <c r="I551" s="87">
        <f>L538</f>
        <v>2612.4899999999998</v>
      </c>
      <c r="J551" s="87">
        <f>L543</f>
        <v>109962.99</v>
      </c>
      <c r="K551" s="87">
        <f>SUM(F551:J551)</f>
        <v>1586890.8299999998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2501089.44</v>
      </c>
      <c r="G552" s="89">
        <f t="shared" si="42"/>
        <v>1482098.0599999998</v>
      </c>
      <c r="H552" s="89">
        <f t="shared" si="42"/>
        <v>132111.09999999998</v>
      </c>
      <c r="I552" s="89">
        <f t="shared" si="42"/>
        <v>8184.5</v>
      </c>
      <c r="J552" s="89">
        <f t="shared" si="42"/>
        <v>257803.84999999998</v>
      </c>
      <c r="K552" s="89">
        <f t="shared" si="42"/>
        <v>4381286.9499999993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71272.55</v>
      </c>
      <c r="H575" s="18">
        <v>55276.36</v>
      </c>
      <c r="I575" s="87">
        <f>SUM(F575:H575)</f>
        <v>126548.91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27592.92</v>
      </c>
      <c r="G582" s="18">
        <v>261925.992</v>
      </c>
      <c r="H582" s="18">
        <v>321004.01</v>
      </c>
      <c r="I582" s="87">
        <f t="shared" si="47"/>
        <v>610522.92200000002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69890.81</v>
      </c>
      <c r="I584" s="87">
        <f t="shared" si="47"/>
        <v>69890.81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128473.57</v>
      </c>
      <c r="I591" s="18">
        <v>94821.83</v>
      </c>
      <c r="J591" s="18">
        <v>104694.32</v>
      </c>
      <c r="K591" s="104">
        <f t="shared" ref="K591:K597" si="48">SUM(H591:J591)</f>
        <v>327989.72000000003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58971.72</v>
      </c>
      <c r="I592" s="18">
        <v>88869.14</v>
      </c>
      <c r="J592" s="18">
        <v>109962.99</v>
      </c>
      <c r="K592" s="104">
        <f t="shared" si="48"/>
        <v>257803.84999999998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42202.51</v>
      </c>
      <c r="K593" s="104">
        <f t="shared" si="48"/>
        <v>42202.51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>
        <v>10714.71</v>
      </c>
      <c r="J594" s="18">
        <v>36818.22</v>
      </c>
      <c r="K594" s="104">
        <f t="shared" si="48"/>
        <v>47532.93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4626.01</v>
      </c>
      <c r="I595" s="18">
        <v>5300.02</v>
      </c>
      <c r="J595" s="18">
        <v>4394.96</v>
      </c>
      <c r="K595" s="104">
        <f t="shared" si="48"/>
        <v>14320.990000000002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192071.30000000002</v>
      </c>
      <c r="I598" s="108">
        <f>SUM(I591:I597)</f>
        <v>199705.69999999998</v>
      </c>
      <c r="J598" s="108">
        <f>SUM(J591:J597)</f>
        <v>298073.00000000006</v>
      </c>
      <c r="K598" s="108">
        <f>SUM(K591:K597)</f>
        <v>689850.00000000012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31290.76</v>
      </c>
      <c r="I604" s="18">
        <v>47912.46</v>
      </c>
      <c r="J604" s="18">
        <v>100179.24</v>
      </c>
      <c r="K604" s="104">
        <f>SUM(H604:J604)</f>
        <v>179382.46000000002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31290.76</v>
      </c>
      <c r="I605" s="108">
        <f>SUM(I602:I604)</f>
        <v>47912.46</v>
      </c>
      <c r="J605" s="108">
        <f>SUM(J602:J604)</f>
        <v>100179.24</v>
      </c>
      <c r="K605" s="108">
        <f>SUM(K602:K604)</f>
        <v>179382.46000000002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948112.53999999992</v>
      </c>
      <c r="H617" s="109">
        <f>SUM(F52)</f>
        <v>948112.54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565478.78999999992</v>
      </c>
      <c r="H618" s="109">
        <f>SUM(G52)</f>
        <v>565478.79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0</v>
      </c>
      <c r="H619" s="109">
        <f>SUM(H52)</f>
        <v>0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261954</v>
      </c>
      <c r="H621" s="109">
        <f>SUM(J52)</f>
        <v>261954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551195.04</v>
      </c>
      <c r="H622" s="109">
        <f>F476</f>
        <v>551195.03999999911</v>
      </c>
      <c r="I622" s="121" t="s">
        <v>101</v>
      </c>
      <c r="J622" s="109">
        <f t="shared" ref="J622:J655" si="50">G622-H622</f>
        <v>9.3132257461547852E-10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28698.16</v>
      </c>
      <c r="H623" s="109">
        <f>G476</f>
        <v>28698.159999999916</v>
      </c>
      <c r="I623" s="121" t="s">
        <v>102</v>
      </c>
      <c r="J623" s="109">
        <f t="shared" si="50"/>
        <v>8.3673512563109398E-11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261954</v>
      </c>
      <c r="H626" s="109">
        <f>J476</f>
        <v>261954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13813375.339999998</v>
      </c>
      <c r="H627" s="104">
        <f>SUM(F468)</f>
        <v>13813375.34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571999.1</v>
      </c>
      <c r="H628" s="104">
        <f>SUM(G468)</f>
        <v>571999.1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0</v>
      </c>
      <c r="H629" s="104">
        <f>SUM(H468)</f>
        <v>0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0</v>
      </c>
      <c r="H631" s="104">
        <f>SUM(J468)</f>
        <v>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13973665.300000001</v>
      </c>
      <c r="H632" s="104">
        <f>SUM(F472)</f>
        <v>13973665.300000001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0</v>
      </c>
      <c r="H633" s="104">
        <f>SUM(H472)</f>
        <v>0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276219.83999999997</v>
      </c>
      <c r="H634" s="104">
        <f>I369</f>
        <v>276219.84000000003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634292.89999999991</v>
      </c>
      <c r="H635" s="104">
        <f>SUM(G472)</f>
        <v>634292.9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0</v>
      </c>
      <c r="H637" s="164">
        <f>SUM(J468)</f>
        <v>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0</v>
      </c>
      <c r="H638" s="164">
        <f>SUM(J472)</f>
        <v>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261954</v>
      </c>
      <c r="H640" s="104">
        <f>SUM(G461)</f>
        <v>261954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261954</v>
      </c>
      <c r="H642" s="104">
        <f>SUM(I461)</f>
        <v>261954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0</v>
      </c>
      <c r="H646" s="104">
        <f>L408</f>
        <v>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689850.00000000012</v>
      </c>
      <c r="H647" s="104">
        <f>L208+L226+L244</f>
        <v>689850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179382.46000000002</v>
      </c>
      <c r="H648" s="104">
        <f>(J257+J338)-(J255+J336)</f>
        <v>179382.46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192071.3</v>
      </c>
      <c r="H649" s="104">
        <f>H598</f>
        <v>192071.30000000002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199705.7</v>
      </c>
      <c r="H650" s="104">
        <f>I598</f>
        <v>199705.69999999998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298073</v>
      </c>
      <c r="H651" s="104">
        <f>J598</f>
        <v>298073.00000000006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4284434.6317400001</v>
      </c>
      <c r="G660" s="19">
        <f>(L229+L309+L359)</f>
        <v>4498092.3366400013</v>
      </c>
      <c r="H660" s="19">
        <f>(L247+L328+L360)</f>
        <v>5399082.6916199997</v>
      </c>
      <c r="I660" s="19">
        <f>SUM(F660:H660)</f>
        <v>14181609.66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69181.961371484693</v>
      </c>
      <c r="G661" s="19">
        <f>(L359/IF(SUM(L358:L360)=0,1,SUM(L358:L360))*(SUM(G97:G110)))</f>
        <v>51442.676029701739</v>
      </c>
      <c r="H661" s="19">
        <f>(L360/IF(SUM(L358:L360)=0,1,SUM(L358:L360))*(SUM(G97:G110)))</f>
        <v>60152.662598813586</v>
      </c>
      <c r="I661" s="19">
        <f>SUM(F661:H661)</f>
        <v>180777.30000000002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192071.3</v>
      </c>
      <c r="G662" s="19">
        <f>(L226+L306)-(J226+J306)</f>
        <v>199705.7</v>
      </c>
      <c r="H662" s="19">
        <f>(L244+L325)-(J244+J325)</f>
        <v>298073</v>
      </c>
      <c r="I662" s="19">
        <f>SUM(F662:H662)</f>
        <v>689850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58883.679999999993</v>
      </c>
      <c r="G663" s="199">
        <f>SUM(G575:G587)+SUM(I602:I604)+L612</f>
        <v>381111.00200000004</v>
      </c>
      <c r="H663" s="199">
        <f>SUM(H575:H587)+SUM(J602:J604)+L613</f>
        <v>546350.42000000004</v>
      </c>
      <c r="I663" s="19">
        <f>SUM(F663:H663)</f>
        <v>986345.10200000007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3964297.6903685154</v>
      </c>
      <c r="G664" s="19">
        <f>G660-SUM(G661:G663)</f>
        <v>3865832.9586102995</v>
      </c>
      <c r="H664" s="19">
        <f>H660-SUM(H661:H663)</f>
        <v>4494506.6090211859</v>
      </c>
      <c r="I664" s="19">
        <f>I660-SUM(I661:I663)</f>
        <v>12324637.257999999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482.63</v>
      </c>
      <c r="G665" s="248">
        <v>346.09</v>
      </c>
      <c r="H665" s="248">
        <v>380.84</v>
      </c>
      <c r="I665" s="19">
        <f>SUM(F665:H665)</f>
        <v>1209.56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8213.9500000000007</v>
      </c>
      <c r="G667" s="19">
        <f>ROUND(G664/G665,2)</f>
        <v>11170.02</v>
      </c>
      <c r="H667" s="19">
        <f>ROUND(H664/H665,2)</f>
        <v>11801.56</v>
      </c>
      <c r="I667" s="19">
        <f>ROUND(I664/I665,2)</f>
        <v>10189.36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-9.39</v>
      </c>
      <c r="I670" s="19">
        <f>SUM(F670:H670)</f>
        <v>-9.39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8213.9500000000007</v>
      </c>
      <c r="G672" s="19">
        <f>ROUND((G664+G669)/(G665+G670),2)</f>
        <v>11170.02</v>
      </c>
      <c r="H672" s="19">
        <f>ROUND((H664+H669)/(H665+H670),2)</f>
        <v>12099.9</v>
      </c>
      <c r="I672" s="19">
        <f>ROUND((I664+I669)/(I665+I670),2)</f>
        <v>10269.08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3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2014-2015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C22" sqref="C22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FRANKLIN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2014-2015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3424695.6800000006</v>
      </c>
      <c r="C9" s="229">
        <f>'DOE25'!G197+'DOE25'!G215+'DOE25'!G233+'DOE25'!G276+'DOE25'!G295+'DOE25'!G314</f>
        <v>1272983.26</v>
      </c>
    </row>
    <row r="10" spans="1:3" x14ac:dyDescent="0.2">
      <c r="A10" t="s">
        <v>779</v>
      </c>
      <c r="B10" s="240">
        <v>3278859.32</v>
      </c>
      <c r="C10" s="240">
        <v>1259616.93</v>
      </c>
    </row>
    <row r="11" spans="1:3" x14ac:dyDescent="0.2">
      <c r="A11" t="s">
        <v>780</v>
      </c>
      <c r="B11" s="240">
        <v>76225.679999999993</v>
      </c>
      <c r="C11" s="240">
        <v>5831.26</v>
      </c>
    </row>
    <row r="12" spans="1:3" x14ac:dyDescent="0.2">
      <c r="A12" t="s">
        <v>781</v>
      </c>
      <c r="B12" s="240">
        <v>69610.679999999993</v>
      </c>
      <c r="C12" s="240">
        <v>7535.07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3424695.68</v>
      </c>
      <c r="C13" s="231">
        <f>SUM(C10:C12)</f>
        <v>1272983.26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1413712.78</v>
      </c>
      <c r="C18" s="229">
        <f>'DOE25'!G198+'DOE25'!G216+'DOE25'!G234+'DOE25'!G277+'DOE25'!G296+'DOE25'!G315</f>
        <v>517748.01</v>
      </c>
    </row>
    <row r="19" spans="1:3" x14ac:dyDescent="0.2">
      <c r="A19" t="s">
        <v>779</v>
      </c>
      <c r="B19" s="240">
        <v>596021.22</v>
      </c>
      <c r="C19" s="240">
        <v>203938.96</v>
      </c>
    </row>
    <row r="20" spans="1:3" x14ac:dyDescent="0.2">
      <c r="A20" t="s">
        <v>780</v>
      </c>
      <c r="B20" s="240">
        <v>710244.98</v>
      </c>
      <c r="C20" s="240">
        <v>304589.39</v>
      </c>
    </row>
    <row r="21" spans="1:3" x14ac:dyDescent="0.2">
      <c r="A21" t="s">
        <v>781</v>
      </c>
      <c r="B21" s="240">
        <v>107446.58</v>
      </c>
      <c r="C21" s="240">
        <v>9219.66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1413712.78</v>
      </c>
      <c r="C22" s="231">
        <f>SUM(C19:C21)</f>
        <v>517748.00999999995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131219.62</v>
      </c>
      <c r="C36" s="235">
        <f>'DOE25'!G200+'DOE25'!G218+'DOE25'!G236+'DOE25'!G279+'DOE25'!G298+'DOE25'!G317</f>
        <v>48109.85</v>
      </c>
    </row>
    <row r="37" spans="1:3" x14ac:dyDescent="0.2">
      <c r="A37" t="s">
        <v>779</v>
      </c>
      <c r="B37" s="240">
        <v>131219.62</v>
      </c>
      <c r="C37" s="240">
        <v>48109.85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131219.62</v>
      </c>
      <c r="C40" s="231">
        <f>SUM(C37:C39)</f>
        <v>48109.85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22" activePane="bottomLeft" state="frozen"/>
      <selection activeCell="F46" sqref="F46"/>
      <selection pane="bottomLeft" sqref="A1:H5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FRANKLIN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8106379.21</v>
      </c>
      <c r="D5" s="20">
        <f>SUM('DOE25'!L197:L200)+SUM('DOE25'!L215:L218)+SUM('DOE25'!L233:L236)-F5-G5</f>
        <v>8052878.7699999996</v>
      </c>
      <c r="E5" s="243"/>
      <c r="F5" s="255">
        <f>SUM('DOE25'!J197:J200)+SUM('DOE25'!J215:J218)+SUM('DOE25'!J233:J236)</f>
        <v>37718.289999999994</v>
      </c>
      <c r="G5" s="53">
        <f>SUM('DOE25'!K197:K200)+SUM('DOE25'!K215:K218)+SUM('DOE25'!K233:K236)</f>
        <v>15782.15</v>
      </c>
      <c r="H5" s="259"/>
    </row>
    <row r="6" spans="1:9" x14ac:dyDescent="0.2">
      <c r="A6" s="32">
        <v>2100</v>
      </c>
      <c r="B6" t="s">
        <v>801</v>
      </c>
      <c r="C6" s="245">
        <f t="shared" si="0"/>
        <v>1483214.05</v>
      </c>
      <c r="D6" s="20">
        <f>'DOE25'!L202+'DOE25'!L220+'DOE25'!L238-F6-G6</f>
        <v>1478443.01</v>
      </c>
      <c r="E6" s="243"/>
      <c r="F6" s="255">
        <f>'DOE25'!J202+'DOE25'!J220+'DOE25'!J238</f>
        <v>3655.0400000000004</v>
      </c>
      <c r="G6" s="53">
        <f>'DOE25'!K202+'DOE25'!K220+'DOE25'!K238</f>
        <v>1116</v>
      </c>
      <c r="H6" s="259"/>
    </row>
    <row r="7" spans="1:9" x14ac:dyDescent="0.2">
      <c r="A7" s="32">
        <v>2200</v>
      </c>
      <c r="B7" t="s">
        <v>834</v>
      </c>
      <c r="C7" s="245">
        <f t="shared" si="0"/>
        <v>320997.87</v>
      </c>
      <c r="D7" s="20">
        <f>'DOE25'!L203+'DOE25'!L221+'DOE25'!L239-F7-G7</f>
        <v>205337.76</v>
      </c>
      <c r="E7" s="243"/>
      <c r="F7" s="255">
        <f>'DOE25'!J203+'DOE25'!J221+'DOE25'!J239</f>
        <v>115660.11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592622.38600000006</v>
      </c>
      <c r="D8" s="243"/>
      <c r="E8" s="20">
        <f>'DOE25'!L204+'DOE25'!L222+'DOE25'!L240-F8-G8-D9-D11</f>
        <v>586679.25600000005</v>
      </c>
      <c r="F8" s="255">
        <f>'DOE25'!J204+'DOE25'!J222+'DOE25'!J240</f>
        <v>0</v>
      </c>
      <c r="G8" s="53">
        <f>'DOE25'!K204+'DOE25'!K222+'DOE25'!K240</f>
        <v>5943.13</v>
      </c>
      <c r="H8" s="259"/>
    </row>
    <row r="9" spans="1:9" x14ac:dyDescent="0.2">
      <c r="A9" s="32">
        <v>2310</v>
      </c>
      <c r="B9" t="s">
        <v>818</v>
      </c>
      <c r="C9" s="245">
        <f t="shared" si="0"/>
        <v>10675.46</v>
      </c>
      <c r="D9" s="244">
        <v>10675.46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22500</v>
      </c>
      <c r="D10" s="243"/>
      <c r="E10" s="244">
        <v>22500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185109.16</v>
      </c>
      <c r="D11" s="244">
        <v>185109.16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891493.05</v>
      </c>
      <c r="D12" s="20">
        <f>'DOE25'!L205+'DOE25'!L223+'DOE25'!L241-F12-G12</f>
        <v>877289.35000000009</v>
      </c>
      <c r="E12" s="243"/>
      <c r="F12" s="255">
        <f>'DOE25'!J205+'DOE25'!J223+'DOE25'!J241</f>
        <v>0</v>
      </c>
      <c r="G12" s="53">
        <f>'DOE25'!K205+'DOE25'!K223+'DOE25'!K241</f>
        <v>14203.7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1214059.1529999999</v>
      </c>
      <c r="D14" s="20">
        <f>'DOE25'!L207+'DOE25'!L225+'DOE25'!L243-F14-G14</f>
        <v>1191710.1329999999</v>
      </c>
      <c r="E14" s="243"/>
      <c r="F14" s="255">
        <f>'DOE25'!J207+'DOE25'!J225+'DOE25'!J243</f>
        <v>22349.02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689850</v>
      </c>
      <c r="D15" s="20">
        <f>'DOE25'!L208+'DOE25'!L226+'DOE25'!L244-F15-G15</f>
        <v>689850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52916.421000000002</v>
      </c>
      <c r="D16" s="243"/>
      <c r="E16" s="20">
        <f>'DOE25'!L209+'DOE25'!L227+'DOE25'!L245-F16-G16</f>
        <v>52916.421000000002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20195.759999999998</v>
      </c>
      <c r="D17" s="20">
        <f>'DOE25'!L251-F17-G17</f>
        <v>20195.759999999998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406152.78</v>
      </c>
      <c r="D25" s="243"/>
      <c r="E25" s="243"/>
      <c r="F25" s="258"/>
      <c r="G25" s="256"/>
      <c r="H25" s="257">
        <f>'DOE25'!L260+'DOE25'!L261+'DOE25'!L341+'DOE25'!L342</f>
        <v>406152.78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373114.0199999999</v>
      </c>
      <c r="D29" s="20">
        <f>'DOE25'!L358+'DOE25'!L359+'DOE25'!L360-'DOE25'!I367-F29-G29</f>
        <v>356969.99999999994</v>
      </c>
      <c r="E29" s="243"/>
      <c r="F29" s="255">
        <f>'DOE25'!J358+'DOE25'!J359+'DOE25'!J360</f>
        <v>15411.16</v>
      </c>
      <c r="G29" s="53">
        <f>'DOE25'!K358+'DOE25'!K359+'DOE25'!K360</f>
        <v>732.86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0</v>
      </c>
      <c r="D31" s="20">
        <f>'DOE25'!L290+'DOE25'!L309+'DOE25'!L328+'DOE25'!L333+'DOE25'!L334+'DOE25'!L335-F31-G31</f>
        <v>0</v>
      </c>
      <c r="E31" s="243"/>
      <c r="F31" s="255">
        <f>'DOE25'!J290+'DOE25'!J309+'DOE25'!J328+'DOE25'!J333+'DOE25'!J334+'DOE25'!J335</f>
        <v>0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13068459.402999999</v>
      </c>
      <c r="E33" s="246">
        <f>SUM(E5:E31)</f>
        <v>662095.67700000003</v>
      </c>
      <c r="F33" s="246">
        <f>SUM(F5:F31)</f>
        <v>194793.62</v>
      </c>
      <c r="G33" s="246">
        <f>SUM(G5:G31)</f>
        <v>37777.840000000004</v>
      </c>
      <c r="H33" s="246">
        <f>SUM(H5:H31)</f>
        <v>406152.78</v>
      </c>
    </row>
    <row r="35" spans="2:8" ht="12" thickBot="1" x14ac:dyDescent="0.25">
      <c r="B35" s="253" t="s">
        <v>847</v>
      </c>
      <c r="D35" s="254">
        <f>E33</f>
        <v>662095.67700000003</v>
      </c>
      <c r="E35" s="249"/>
    </row>
    <row r="36" spans="2:8" ht="12" thickTop="1" x14ac:dyDescent="0.2">
      <c r="B36" t="s">
        <v>815</v>
      </c>
      <c r="D36" s="20">
        <f>D33</f>
        <v>13068459.402999999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FRANKLIN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41146.870000000003</v>
      </c>
      <c r="D8" s="95">
        <f>'DOE25'!G9</f>
        <v>56513.89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261954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651135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241905.81</v>
      </c>
      <c r="D12" s="95">
        <f>'DOE25'!G13</f>
        <v>499516.41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13924.86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9448.49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948112.53999999992</v>
      </c>
      <c r="D18" s="41">
        <f>SUM(D8:D17)</f>
        <v>565478.78999999992</v>
      </c>
      <c r="E18" s="41">
        <f>SUM(E8:E17)</f>
        <v>0</v>
      </c>
      <c r="F18" s="41">
        <f>SUM(F8:F17)</f>
        <v>0</v>
      </c>
      <c r="G18" s="41">
        <f>SUM(G8:G17)</f>
        <v>261954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528402.43000000005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35230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293948.86</v>
      </c>
      <c r="D23" s="95">
        <f>'DOE25'!G24</f>
        <v>537.32000000000005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39500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28238.639999999999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7840.88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396917.5</v>
      </c>
      <c r="D31" s="41">
        <f>SUM(D21:D30)</f>
        <v>536780.63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19055.23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260083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200000</v>
      </c>
      <c r="D47" s="95">
        <f>'DOE25'!G48</f>
        <v>9642.93</v>
      </c>
      <c r="E47" s="95">
        <f>'DOE25'!H48</f>
        <v>0</v>
      </c>
      <c r="F47" s="95">
        <f>'DOE25'!I48</f>
        <v>0</v>
      </c>
      <c r="G47" s="95">
        <f>'DOE25'!J48</f>
        <v>261954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91112.04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0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551195.04</v>
      </c>
      <c r="D50" s="41">
        <f>SUM(D34:D49)</f>
        <v>28698.16</v>
      </c>
      <c r="E50" s="41">
        <f>SUM(E34:E49)</f>
        <v>0</v>
      </c>
      <c r="F50" s="41">
        <f>SUM(F34:F49)</f>
        <v>0</v>
      </c>
      <c r="G50" s="41">
        <f>SUM(G34:G49)</f>
        <v>261954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948112.54</v>
      </c>
      <c r="D51" s="41">
        <f>D50+D31</f>
        <v>565478.79</v>
      </c>
      <c r="E51" s="41">
        <f>E50+E31</f>
        <v>0</v>
      </c>
      <c r="F51" s="41">
        <f>F50+F31</f>
        <v>0</v>
      </c>
      <c r="G51" s="41">
        <f>G50+G31</f>
        <v>261954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3427275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381456.77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34.53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176513.89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4000</v>
      </c>
      <c r="D61" s="95">
        <f>SUM('DOE25'!G98:G110)</f>
        <v>4263.41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385456.77</v>
      </c>
      <c r="D62" s="130">
        <f>SUM(D57:D61)</f>
        <v>180811.83000000002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3812731.77</v>
      </c>
      <c r="D63" s="22">
        <f>D56+D62</f>
        <v>180811.83000000002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8146890.8099999996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1162694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5645.94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9315230.7499999981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181944.16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174219.27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8341.2000000000007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13902.15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364504.63</v>
      </c>
      <c r="D78" s="130">
        <f>SUM(D72:D77)</f>
        <v>13902.15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9679735.379999999</v>
      </c>
      <c r="D81" s="130">
        <f>SUM(D79:D80)+D78+D70</f>
        <v>13902.15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62417.25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258490.94</v>
      </c>
      <c r="D88" s="95">
        <f>SUM('DOE25'!G153:G161)</f>
        <v>377285.12</v>
      </c>
      <c r="E88" s="95">
        <f>SUM('DOE25'!H153:H161)</f>
        <v>0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320908.19</v>
      </c>
      <c r="D91" s="131">
        <f>SUM(D85:D90)</f>
        <v>377285.12</v>
      </c>
      <c r="E91" s="131">
        <f>SUM(E85:E90)</f>
        <v>0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13813375.339999998</v>
      </c>
      <c r="D104" s="86">
        <f>D63+D81+D91+D103</f>
        <v>571999.1</v>
      </c>
      <c r="E104" s="86">
        <f>E63+E81+E91+E103</f>
        <v>0</v>
      </c>
      <c r="F104" s="86">
        <f>F63+F81+F91+F103</f>
        <v>0</v>
      </c>
      <c r="G104" s="86">
        <f>G63+G81+G103</f>
        <v>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5049184.8600000003</v>
      </c>
      <c r="D109" s="24" t="s">
        <v>289</v>
      </c>
      <c r="E109" s="95">
        <f>('DOE25'!L276)+('DOE25'!L295)+('DOE25'!L314)</f>
        <v>0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2723191.5300000003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69890.81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264112.01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20195.759999999998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8126574.9699999997</v>
      </c>
      <c r="D115" s="86">
        <f>SUM(D109:D114)</f>
        <v>0</v>
      </c>
      <c r="E115" s="86">
        <f>SUM(E109:E114)</f>
        <v>0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1483214.05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320997.87</v>
      </c>
      <c r="D119" s="24" t="s">
        <v>289</v>
      </c>
      <c r="E119" s="95">
        <f>+('DOE25'!L282)+('DOE25'!L301)+('DOE25'!L320)</f>
        <v>0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788407.00600000005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891493.05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1214059.1529999999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689850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52916.421000000002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634292.89999999991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5440937.5499999998</v>
      </c>
      <c r="D128" s="86">
        <f>SUM(D118:D127)</f>
        <v>634292.89999999991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334662.58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71490.2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406152.78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13973665.299999999</v>
      </c>
      <c r="D145" s="86">
        <f>(D115+D128+D144)</f>
        <v>634292.89999999991</v>
      </c>
      <c r="E145" s="86">
        <f>(E115+E128+E144)</f>
        <v>0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20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8/99</v>
      </c>
      <c r="C152" s="152" t="str">
        <f>'DOE25'!G491</f>
        <v>05/06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8/19</v>
      </c>
      <c r="C153" s="152" t="str">
        <f>'DOE25'!G492</f>
        <v>05/26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5010376</v>
      </c>
      <c r="C154" s="137">
        <f>'DOE25'!G493</f>
        <v>2700000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5.2</v>
      </c>
      <c r="C155" s="137">
        <f>'DOE25'!G494</f>
        <v>4.26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1250000</v>
      </c>
      <c r="C156" s="137">
        <f>'DOE25'!G495</f>
        <v>1865078.25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3115078.25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250000</v>
      </c>
      <c r="C158" s="137">
        <f>'DOE25'!G497</f>
        <v>142105.26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392105.26</v>
      </c>
    </row>
    <row r="159" spans="1:9" x14ac:dyDescent="0.2">
      <c r="A159" s="22" t="s">
        <v>35</v>
      </c>
      <c r="B159" s="137">
        <f>'DOE25'!F498</f>
        <v>1000000</v>
      </c>
      <c r="C159" s="137">
        <f>'DOE25'!G498</f>
        <v>1722972.969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2722972.969</v>
      </c>
    </row>
    <row r="160" spans="1:9" x14ac:dyDescent="0.2">
      <c r="A160" s="22" t="s">
        <v>36</v>
      </c>
      <c r="B160" s="137">
        <f>'DOE25'!F499</f>
        <v>172761</v>
      </c>
      <c r="C160" s="137">
        <f>'DOE25'!G499</f>
        <v>394812.33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567573.33000000007</v>
      </c>
    </row>
    <row r="161" spans="1:7" x14ac:dyDescent="0.2">
      <c r="A161" s="22" t="s">
        <v>37</v>
      </c>
      <c r="B161" s="137">
        <f>'DOE25'!F500</f>
        <v>1172761</v>
      </c>
      <c r="C161" s="137">
        <f>'DOE25'!G500</f>
        <v>2117785.2990000001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3290546.2990000001</v>
      </c>
    </row>
    <row r="162" spans="1:7" x14ac:dyDescent="0.2">
      <c r="A162" s="22" t="s">
        <v>38</v>
      </c>
      <c r="B162" s="137">
        <f>'DOE25'!F501</f>
        <v>250000</v>
      </c>
      <c r="C162" s="137">
        <f>'DOE25'!G501</f>
        <v>142105.26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392105.26</v>
      </c>
    </row>
    <row r="163" spans="1:7" x14ac:dyDescent="0.2">
      <c r="A163" s="22" t="s">
        <v>39</v>
      </c>
      <c r="B163" s="137">
        <f>'DOE25'!F502</f>
        <v>65000</v>
      </c>
      <c r="C163" s="137">
        <f>'DOE25'!G502</f>
        <v>78819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143819</v>
      </c>
    </row>
    <row r="164" spans="1:7" x14ac:dyDescent="0.2">
      <c r="A164" s="22" t="s">
        <v>246</v>
      </c>
      <c r="B164" s="137">
        <f>'DOE25'!F503</f>
        <v>315000</v>
      </c>
      <c r="C164" s="137">
        <f>'DOE25'!G503</f>
        <v>220924.26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535924.26</v>
      </c>
    </row>
  </sheetData>
  <sheetProtection password="A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2014-2015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B34" sqref="B34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FRANKLIN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8214</v>
      </c>
    </row>
    <row r="5" spans="1:4" x14ac:dyDescent="0.2">
      <c r="B5" t="s">
        <v>704</v>
      </c>
      <c r="C5" s="179">
        <f>IF('DOE25'!G665+'DOE25'!G670=0,0,ROUND('DOE25'!G672,0))</f>
        <v>11170</v>
      </c>
    </row>
    <row r="6" spans="1:4" x14ac:dyDescent="0.2">
      <c r="B6" t="s">
        <v>62</v>
      </c>
      <c r="C6" s="179">
        <f>IF('DOE25'!H665+'DOE25'!H670=0,0,ROUND('DOE25'!H672,0))</f>
        <v>12100</v>
      </c>
    </row>
    <row r="7" spans="1:4" x14ac:dyDescent="0.2">
      <c r="B7" t="s">
        <v>705</v>
      </c>
      <c r="C7" s="179">
        <f>IF('DOE25'!I665+'DOE25'!I670=0,0,ROUND('DOE25'!I672,0))</f>
        <v>10269</v>
      </c>
    </row>
    <row r="9" spans="1:4" x14ac:dyDescent="0.2">
      <c r="A9" s="187" t="s">
        <v>94</v>
      </c>
      <c r="B9" s="188" t="s">
        <v>909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5049185</v>
      </c>
      <c r="D10" s="182">
        <f>ROUND((C10/$C$28)*100,1)</f>
        <v>35.799999999999997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2723192</v>
      </c>
      <c r="D11" s="182">
        <f>ROUND((C11/$C$28)*100,1)</f>
        <v>19.3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69891</v>
      </c>
      <c r="D12" s="182">
        <f>ROUND((C12/$C$28)*100,1)</f>
        <v>0.5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264112</v>
      </c>
      <c r="D13" s="182">
        <f>ROUND((C13/$C$28)*100,1)</f>
        <v>1.9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1483214</v>
      </c>
      <c r="D15" s="182">
        <f t="shared" ref="D15:D27" si="0">ROUND((C15/$C$28)*100,1)</f>
        <v>10.5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320998</v>
      </c>
      <c r="D16" s="182">
        <f t="shared" si="0"/>
        <v>2.2999999999999998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841323</v>
      </c>
      <c r="D17" s="182">
        <f t="shared" si="0"/>
        <v>6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891493</v>
      </c>
      <c r="D18" s="182">
        <f t="shared" si="0"/>
        <v>6.3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1214059</v>
      </c>
      <c r="D20" s="182">
        <f t="shared" si="0"/>
        <v>8.6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689850</v>
      </c>
      <c r="D21" s="182">
        <f t="shared" si="0"/>
        <v>4.9000000000000004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20196</v>
      </c>
      <c r="D24" s="182">
        <f t="shared" si="0"/>
        <v>0.1</v>
      </c>
    </row>
    <row r="25" spans="1:4" x14ac:dyDescent="0.2">
      <c r="A25">
        <v>5120</v>
      </c>
      <c r="B25" t="s">
        <v>720</v>
      </c>
      <c r="C25" s="179">
        <f>ROUND('DOE25'!L261+'DOE25'!L342,0)</f>
        <v>71490</v>
      </c>
      <c r="D25" s="182">
        <f t="shared" si="0"/>
        <v>0.5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453515.69999999995</v>
      </c>
      <c r="D27" s="182">
        <f t="shared" si="0"/>
        <v>3.2</v>
      </c>
    </row>
    <row r="28" spans="1:4" x14ac:dyDescent="0.2">
      <c r="B28" s="187" t="s">
        <v>723</v>
      </c>
      <c r="C28" s="180">
        <f>SUM(C10:C27)</f>
        <v>14092518.699999999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14092518.699999999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334663</v>
      </c>
    </row>
    <row r="34" spans="1:4" x14ac:dyDescent="0.2">
      <c r="A34" s="187" t="s">
        <v>94</v>
      </c>
      <c r="B34" s="188" t="s">
        <v>910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3427275</v>
      </c>
      <c r="D35" s="182">
        <f t="shared" ref="D35:D40" si="1">ROUND((C35/$C$41)*100,1)</f>
        <v>24.1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385491.30000000028</v>
      </c>
      <c r="D36" s="182">
        <f t="shared" si="1"/>
        <v>2.7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9309585</v>
      </c>
      <c r="D37" s="182">
        <f t="shared" si="1"/>
        <v>65.5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384053</v>
      </c>
      <c r="D38" s="182">
        <f t="shared" si="1"/>
        <v>2.7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698193</v>
      </c>
      <c r="D39" s="182">
        <f t="shared" si="1"/>
        <v>4.9000000000000004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14204597.300000001</v>
      </c>
      <c r="D41" s="184">
        <f>SUM(D35:D40)</f>
        <v>99.9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FRANKLIN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/>
      <c r="B4" s="219"/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3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2015-11-10T18:56:56Z</cp:lastPrinted>
  <dcterms:created xsi:type="dcterms:W3CDTF">1997-12-04T19:04:30Z</dcterms:created>
  <dcterms:modified xsi:type="dcterms:W3CDTF">2015-11-25T16:12:31Z</dcterms:modified>
</cp:coreProperties>
</file>