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H669" i="1"/>
  <c r="G158" i="1"/>
  <c r="H591" i="1" l="1"/>
  <c r="J591" i="1"/>
  <c r="I591" i="1"/>
  <c r="H208" i="1"/>
  <c r="I207" i="1"/>
  <c r="H207" i="1"/>
  <c r="H197" i="1"/>
  <c r="F29" i="1"/>
  <c r="F13" i="1"/>
  <c r="F24" i="1"/>
  <c r="F23" i="1"/>
  <c r="C10" i="12" l="1"/>
  <c r="B10" i="12"/>
  <c r="D9" i="13" l="1"/>
  <c r="F9" i="1"/>
  <c r="F468" i="1" l="1"/>
  <c r="F160" i="1"/>
  <c r="H468" i="1"/>
  <c r="I205" i="1"/>
  <c r="H204" i="1"/>
  <c r="I197" i="1"/>
  <c r="G197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G651" i="1" s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C19" i="10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C58" i="2" s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7" i="10"/>
  <c r="L250" i="1"/>
  <c r="L332" i="1"/>
  <c r="L254" i="1"/>
  <c r="C25" i="10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C120" i="2"/>
  <c r="E120" i="2"/>
  <c r="E121" i="2"/>
  <c r="C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 s="1"/>
  <c r="H639" i="1"/>
  <c r="H640" i="1"/>
  <c r="G641" i="1"/>
  <c r="H641" i="1"/>
  <c r="G643" i="1"/>
  <c r="H643" i="1"/>
  <c r="J643" i="1" s="1"/>
  <c r="G644" i="1"/>
  <c r="H644" i="1"/>
  <c r="G645" i="1"/>
  <c r="G650" i="1"/>
  <c r="G652" i="1"/>
  <c r="H652" i="1"/>
  <c r="G653" i="1"/>
  <c r="H653" i="1"/>
  <c r="G654" i="1"/>
  <c r="H654" i="1"/>
  <c r="H655" i="1"/>
  <c r="J655" i="1" s="1"/>
  <c r="F192" i="1"/>
  <c r="L256" i="1"/>
  <c r="C26" i="10"/>
  <c r="L328" i="1"/>
  <c r="L351" i="1"/>
  <c r="D19" i="13"/>
  <c r="C19" i="13" s="1"/>
  <c r="H112" i="1"/>
  <c r="J641" i="1"/>
  <c r="J571" i="1"/>
  <c r="K571" i="1"/>
  <c r="L433" i="1"/>
  <c r="I169" i="1"/>
  <c r="G552" i="1"/>
  <c r="J644" i="1"/>
  <c r="J476" i="1"/>
  <c r="H626" i="1" s="1"/>
  <c r="I476" i="1"/>
  <c r="H625" i="1" s="1"/>
  <c r="J625" i="1" s="1"/>
  <c r="J140" i="1"/>
  <c r="F571" i="1"/>
  <c r="I552" i="1"/>
  <c r="K550" i="1"/>
  <c r="G22" i="2"/>
  <c r="K545" i="1"/>
  <c r="J552" i="1"/>
  <c r="C29" i="10"/>
  <c r="H140" i="1"/>
  <c r="F22" i="13"/>
  <c r="H25" i="13"/>
  <c r="C25" i="13" s="1"/>
  <c r="H571" i="1"/>
  <c r="L560" i="1"/>
  <c r="J545" i="1"/>
  <c r="G192" i="1"/>
  <c r="H192" i="1"/>
  <c r="F552" i="1"/>
  <c r="L309" i="1"/>
  <c r="L570" i="1"/>
  <c r="I571" i="1"/>
  <c r="J636" i="1"/>
  <c r="G36" i="2"/>
  <c r="L565" i="1"/>
  <c r="G545" i="1"/>
  <c r="K551" i="1"/>
  <c r="C22" i="13"/>
  <c r="K549" i="1" l="1"/>
  <c r="K552" i="1" s="1"/>
  <c r="E16" i="13"/>
  <c r="C16" i="13" s="1"/>
  <c r="J338" i="1"/>
  <c r="J352" i="1" s="1"/>
  <c r="D127" i="2"/>
  <c r="D128" i="2" s="1"/>
  <c r="A13" i="12"/>
  <c r="C123" i="2"/>
  <c r="D14" i="13"/>
  <c r="C14" i="13" s="1"/>
  <c r="H545" i="1"/>
  <c r="H552" i="1"/>
  <c r="L524" i="1"/>
  <c r="L545" i="1" s="1"/>
  <c r="G661" i="1"/>
  <c r="L362" i="1"/>
  <c r="G635" i="1" s="1"/>
  <c r="J635" i="1" s="1"/>
  <c r="H661" i="1"/>
  <c r="H52" i="1"/>
  <c r="H619" i="1" s="1"/>
  <c r="J640" i="1"/>
  <c r="F78" i="2"/>
  <c r="A31" i="12"/>
  <c r="A40" i="12"/>
  <c r="D18" i="13"/>
  <c r="C18" i="13" s="1"/>
  <c r="E13" i="13"/>
  <c r="C13" i="13" s="1"/>
  <c r="D81" i="2"/>
  <c r="C70" i="2"/>
  <c r="D62" i="2"/>
  <c r="D63" i="2" s="1"/>
  <c r="I446" i="1"/>
  <c r="G642" i="1" s="1"/>
  <c r="L427" i="1"/>
  <c r="L419" i="1"/>
  <c r="H476" i="1"/>
  <c r="H624" i="1" s="1"/>
  <c r="J624" i="1" s="1"/>
  <c r="F476" i="1"/>
  <c r="H622" i="1" s="1"/>
  <c r="J622" i="1" s="1"/>
  <c r="J651" i="1"/>
  <c r="K598" i="1"/>
  <c r="G647" i="1" s="1"/>
  <c r="E122" i="2"/>
  <c r="E128" i="2" s="1"/>
  <c r="L290" i="1"/>
  <c r="L338" i="1" s="1"/>
  <c r="L352" i="1" s="1"/>
  <c r="G633" i="1" s="1"/>
  <c r="J633" i="1" s="1"/>
  <c r="C16" i="10"/>
  <c r="C78" i="2"/>
  <c r="C81" i="2" s="1"/>
  <c r="G164" i="2"/>
  <c r="G161" i="2"/>
  <c r="G157" i="2"/>
  <c r="G156" i="2"/>
  <c r="E115" i="2"/>
  <c r="D18" i="2"/>
  <c r="E103" i="2"/>
  <c r="C91" i="2"/>
  <c r="E62" i="2"/>
  <c r="E63" i="2" s="1"/>
  <c r="D50" i="2"/>
  <c r="E31" i="2"/>
  <c r="F18" i="2"/>
  <c r="E81" i="2"/>
  <c r="F81" i="2"/>
  <c r="H33" i="13"/>
  <c r="C18" i="2"/>
  <c r="L401" i="1"/>
  <c r="C139" i="2" s="1"/>
  <c r="E8" i="13"/>
  <c r="C8" i="13" s="1"/>
  <c r="I369" i="1"/>
  <c r="H634" i="1" s="1"/>
  <c r="J634" i="1" s="1"/>
  <c r="D29" i="13"/>
  <c r="C29" i="13" s="1"/>
  <c r="D145" i="2"/>
  <c r="C11" i="10"/>
  <c r="C110" i="2"/>
  <c r="C109" i="2"/>
  <c r="C10" i="10"/>
  <c r="L229" i="1"/>
  <c r="J257" i="1"/>
  <c r="J271" i="1" s="1"/>
  <c r="H257" i="1"/>
  <c r="H271" i="1" s="1"/>
  <c r="C21" i="10"/>
  <c r="H662" i="1"/>
  <c r="L247" i="1"/>
  <c r="H660" i="1" s="1"/>
  <c r="K257" i="1"/>
  <c r="K271" i="1" s="1"/>
  <c r="I257" i="1"/>
  <c r="I271" i="1" s="1"/>
  <c r="G257" i="1"/>
  <c r="G271" i="1" s="1"/>
  <c r="G662" i="1"/>
  <c r="F257" i="1"/>
  <c r="F271" i="1" s="1"/>
  <c r="G649" i="1"/>
  <c r="J649" i="1" s="1"/>
  <c r="D15" i="13"/>
  <c r="C15" i="13" s="1"/>
  <c r="H647" i="1"/>
  <c r="C124" i="2"/>
  <c r="F662" i="1"/>
  <c r="C18" i="10"/>
  <c r="D12" i="13"/>
  <c r="C12" i="13" s="1"/>
  <c r="D7" i="13"/>
  <c r="C7" i="13" s="1"/>
  <c r="C119" i="2"/>
  <c r="C118" i="2"/>
  <c r="D6" i="13"/>
  <c r="C6" i="13" s="1"/>
  <c r="L211" i="1"/>
  <c r="C112" i="2"/>
  <c r="D5" i="13"/>
  <c r="C5" i="13" s="1"/>
  <c r="D31" i="2"/>
  <c r="D51" i="2" s="1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I663" i="1"/>
  <c r="C27" i="10"/>
  <c r="F660" i="1" l="1"/>
  <c r="F664" i="1" s="1"/>
  <c r="I661" i="1"/>
  <c r="D104" i="2"/>
  <c r="E104" i="2"/>
  <c r="E51" i="2"/>
  <c r="J647" i="1"/>
  <c r="D31" i="13"/>
  <c r="C31" i="13" s="1"/>
  <c r="E145" i="2"/>
  <c r="G51" i="2"/>
  <c r="C141" i="2"/>
  <c r="C144" i="2" s="1"/>
  <c r="F104" i="2"/>
  <c r="C104" i="2"/>
  <c r="E33" i="13"/>
  <c r="D35" i="13" s="1"/>
  <c r="G104" i="2"/>
  <c r="L408" i="1"/>
  <c r="G637" i="1" s="1"/>
  <c r="J637" i="1" s="1"/>
  <c r="C115" i="2"/>
  <c r="H664" i="1"/>
  <c r="G664" i="1"/>
  <c r="I662" i="1"/>
  <c r="C128" i="2"/>
  <c r="C28" i="10"/>
  <c r="D23" i="10" s="1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72" i="1"/>
  <c r="C4" i="10" s="1"/>
  <c r="F667" i="1"/>
  <c r="D33" i="13"/>
  <c r="D36" i="13" s="1"/>
  <c r="C145" i="2"/>
  <c r="H646" i="1"/>
  <c r="J646" i="1" s="1"/>
  <c r="H667" i="1"/>
  <c r="H672" i="1"/>
  <c r="C6" i="10" s="1"/>
  <c r="G667" i="1"/>
  <c r="G672" i="1"/>
  <c r="C5" i="10" s="1"/>
  <c r="D13" i="10"/>
  <c r="D25" i="10"/>
  <c r="D21" i="10"/>
  <c r="D20" i="10"/>
  <c r="D15" i="10"/>
  <c r="D19" i="10"/>
  <c r="D11" i="10"/>
  <c r="D22" i="10"/>
  <c r="D27" i="10"/>
  <c r="D18" i="10"/>
  <c r="D17" i="10"/>
  <c r="D12" i="10"/>
  <c r="D24" i="10"/>
  <c r="D10" i="10"/>
  <c r="D26" i="10"/>
  <c r="C30" i="10"/>
  <c r="D16" i="10"/>
  <c r="C41" i="10"/>
  <c r="D38" i="10" s="1"/>
  <c r="I667" i="1" l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<sst xmlns="http://schemas.openxmlformats.org/spreadsheetml/2006/main" count="3955" uniqueCount="913">
  <si>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</si>
  <si>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</si>
  <si>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</si>
  <si>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</si>
  <si>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</si>
  <si>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</si>
  <si>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</si>
  <si>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</si>
  <si>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</si>
  <si>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</si>
  <si>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</si>
  <si>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</si>
  <si>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</si>
  <si>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</si>
  <si>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</si>
  <si>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</si>
  <si>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</si>
  <si>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</si>
  <si>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</si>
  <si>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</si>
  <si>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</si>
  <si>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</si>
  <si>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</si>
  <si>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</si>
  <si>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</si>
  <si>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</si>
  <si>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</si>
  <si>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</si>
  <si>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</si>
  <si>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</si>
  <si>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</si>
  <si>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</si>
  <si>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</si>
  <si>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</si>
  <si>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</si>
  <si>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</si>
  <si>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</si>
  <si>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</si>
  <si>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</si>
  <si>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</si>
  <si>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</si>
  <si>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</si>
  <si>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</si>
  <si>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</si>
  <si>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</si>
  <si>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</si>
  <si>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</si>
  <si>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</si>
  <si>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</si>
  <si>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</si>
  <si>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</si>
  <si>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</si>
  <si>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</si>
  <si>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</si>
  <si>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</si>
  <si>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</si>
  <si>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</si>
  <si>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</si>
  <si>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</si>
  <si>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</si>
  <si>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</si>
  <si>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</si>
  <si>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</si>
  <si>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</si>
  <si>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</si>
  <si>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</si>
  <si>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</si>
  <si>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</si>
  <si>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</si>
  <si>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</si>
  <si>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</si>
  <si>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</si>
  <si>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</si>
  <si>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</si>
  <si>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</si>
  <si>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</si>
  <si>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</si>
  <si>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</si>
  <si>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</si>
  <si>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</si>
  <si>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</si>
  <si>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</si>
  <si>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</si>
  <si>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</si>
  <si>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</si>
  <si>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</si>
  <si>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</si>
  <si>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</si>
  <si>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</si>
  <si>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</si>
  <si>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</si>
  <si>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</si>
  <si>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</si>
  <si>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</si>
  <si>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</si>
  <si>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</si>
  <si>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</si>
  <si>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</si>
  <si>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</si>
  <si>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</si>
  <si>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</si>
  <si>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</si>
  <si>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</si>
  <si>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</si>
  <si>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</si>
  <si>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</si>
  <si>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</si>
  <si>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</si>
  <si>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</si>
  <si>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</si>
  <si>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</si>
  <si>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</si>
  <si>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</si>
  <si>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</si>
  <si>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</si>
  <si>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</si>
  <si>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</si>
  <si>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</si>
  <si>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</si>
  <si>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</si>
  <si>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</si>
  <si>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</si>
  <si>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</si>
  <si>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</si>
  <si>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</si>
  <si>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</si>
  <si>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</si>
  <si>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</si>
  <si>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</si>
  <si>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</si>
  <si>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</si>
  <si>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</si>
  <si>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</si>
  <si>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</si>
  <si>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</si>
  <si>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</si>
  <si>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</si>
  <si>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</si>
  <si>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</si>
  <si>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</si>
  <si>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</si>
  <si>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</si>
  <si>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</si>
  <si>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</si>
  <si>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</si>
  <si>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</si>
  <si>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</si>
  <si>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</si>
  <si>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</si>
  <si>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</si>
  <si>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</si>
  <si>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</si>
  <si>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</si>
  <si>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</si>
  <si>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</si>
  <si>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</si>
  <si>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</si>
  <si>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</si>
  <si>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</si>
  <si>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</si>
  <si>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</si>
  <si>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</si>
  <si>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</si>
  <si>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</si>
  <si>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</si>
  <si>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</si>
  <si>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</si>
  <si>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</si>
  <si>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</si>
  <si>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</si>
  <si>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</si>
  <si>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</si>
  <si>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</si>
  <si>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</si>
  <si>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</si>
  <si>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</si>
  <si>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</si>
  <si>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</si>
  <si>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</si>
  <si>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</si>
  <si>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</si>
  <si>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</si>
  <si>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</si>
  <si>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</si>
  <si>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</si>
  <si>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</si>
  <si>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</si>
  <si>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</si>
  <si>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</si>
  <si>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</si>
  <si>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</si>
  <si>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</si>
  <si>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</si>
  <si>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</si>
  <si>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</si>
  <si>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</si>
  <si>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</si>
  <si>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</si>
  <si>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</si>
  <si>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</si>
  <si>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</si>
  <si>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</si>
  <si>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</si>
  <si>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</si>
  <si>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</si>
  <si>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</si>
  <si>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</si>
  <si>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</si>
  <si>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</si>
  <si>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</si>
  <si>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</si>
  <si>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</si>
  <si>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</si>
  <si>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</si>
  <si>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</si>
  <si>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</si>
  <si>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</si>
  <si>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</si>
  <si>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</si>
  <si>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</si>
  <si>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</si>
  <si>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</si>
  <si>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</si>
  <si>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</si>
  <si>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</si>
  <si>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</si>
  <si>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</si>
  <si>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</si>
  <si>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</si>
  <si>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</si>
  <si>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</si>
  <si>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</si>
  <si>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</si>
  <si>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</si>
  <si>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</si>
  <si>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</si>
  <si>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</si>
  <si>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</si>
  <si>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</si>
  <si>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</si>
  <si>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</si>
  <si>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</si>
  <si>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</si>
  <si>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</si>
  <si>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</si>
  <si>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</si>
  <si>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</si>
  <si>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</si>
  <si>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</si>
  <si>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</si>
  <si>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</si>
  <si>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</si>
  <si>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</si>
  <si>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</si>
  <si>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</si>
  <si>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</si>
  <si>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</si>
  <si>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</si>
  <si>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</si>
  <si>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</si>
  <si>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</si>
  <si>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</si>
  <si>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</si>
  <si>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</si>
  <si>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</si>
  <si>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</si>
  <si>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</si>
  <si>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</si>
  <si>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</si>
  <si>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</si>
  <si>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</si>
  <si>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</si>
  <si>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</si>
  <si>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</si>
  <si>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</si>
  <si>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</si>
  <si>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</si>
  <si>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</si>
  <si>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</si>
  <si>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</si>
  <si>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</si>
  <si>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</si>
  <si>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</si>
  <si>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</si>
  <si>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</si>
  <si>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</si>
  <si>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</si>
  <si>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</si>
  <si>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</si>
  <si>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</si>
  <si>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</si>
  <si>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</si>
  <si>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</si>
  <si>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</si>
  <si>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</si>
  <si>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</si>
  <si>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</si>
  <si>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</si>
  <si>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</si>
  <si>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</si>
  <si>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</si>
  <si>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</si>
  <si>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</si>
  <si>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</si>
  <si>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</si>
  <si>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</si>
  <si>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</si>
  <si>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</si>
  <si>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</si>
  <si>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</si>
  <si>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</si>
  <si>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</si>
  <si>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</si>
  <si>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</si>
  <si>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</si>
  <si>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</si>
  <si>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</si>
  <si>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</si>
  <si>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</si>
  <si>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</si>
  <si>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</si>
  <si>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</si>
  <si>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</si>
  <si>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</si>
  <si>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</si>
  <si>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</si>
  <si>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</si>
  <si>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</si>
  <si>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</si>
  <si>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</si>
  <si>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</si>
  <si>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</si>
  <si>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</si>
  <si>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</si>
  <si>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</si>
  <si>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</si>
  <si>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</si>
  <si>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</si>
  <si>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</si>
  <si>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</si>
  <si>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</si>
  <si>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</si>
  <si>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</si>
  <si>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</si>
  <si>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</si>
  <si>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</si>
  <si>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</si>
  <si>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</si>
  <si>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</si>
  <si>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</si>
  <si>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</si>
  <si>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</si>
  <si>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</si>
  <si>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</si>
  <si>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</si>
  <si>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</si>
  <si>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</si>
  <si>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</si>
  <si>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</si>
  <si>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</si>
  <si>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</si>
  <si>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</si>
  <si>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</si>
  <si>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</si>
  <si>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</si>
  <si>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</si>
  <si>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</si>
  <si>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</si>
  <si>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</si>
  <si>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</si>
  <si>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</si>
  <si>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</si>
  <si>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</si>
  <si>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</si>
  <si>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</si>
  <si>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</si>
  <si>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</si>
  <si>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</si>
  <si>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</si>
  <si>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</si>
  <si>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</si>
  <si>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</si>
  <si>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</si>
  <si>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</si>
  <si>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</si>
  <si>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</si>
  <si>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</si>
  <si>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</si>
  <si>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</si>
  <si>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</si>
  <si>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</si>
  <si>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</si>
  <si>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</si>
  <si>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</si>
  <si>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</si>
  <si>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</si>
  <si>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</si>
  <si>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</si>
  <si>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</si>
  <si>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</si>
  <si>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</si>
  <si>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</si>
  <si>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</si>
  <si>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</si>
  <si>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</si>
  <si>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</si>
  <si>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</si>
  <si>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</si>
  <si>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</si>
  <si>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</si>
  <si>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</si>
  <si>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</si>
  <si>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</si>
  <si>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</si>
  <si>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</si>
  <si>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</si>
  <si>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</si>
  <si>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</si>
  <si>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</si>
  <si>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</si>
  <si>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</si>
  <si>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</si>
  <si>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</si>
  <si>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</si>
  <si>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</si>
  <si>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</si>
  <si>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</si>
  <si>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</si>
  <si>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</si>
  <si>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</si>
  <si>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</si>
  <si>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</si>
  <si>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</si>
  <si>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</si>
  <si>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</si>
  <si>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</si>
  <si>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</si>
  <si>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</si>
  <si>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</si>
  <si>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</si>
  <si>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</si>
  <si>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</si>
  <si>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</si>
  <si>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</si>
  <si>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</si>
  <si>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</si>
  <si>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</si>
  <si>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</si>
  <si>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</si>
  <si>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</si>
  <si>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</si>
  <si>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</si>
  <si>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</si>
  <si>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</si>
  <si>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</si>
  <si>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</si>
  <si>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</si>
  <si>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</si>
  <si>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</si>
  <si>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</si>
  <si>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</si>
  <si>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</si>
  <si>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</si>
  <si>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</si>
  <si>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</si>
  <si>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</si>
  <si>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</si>
  <si>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</si>
  <si>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</si>
  <si>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</si>
  <si>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</si>
  <si>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</si>
  <si>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</si>
  <si>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</si>
  <si>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</si>
  <si>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</si>
  <si>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</si>
  <si>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</si>
  <si>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</si>
  <si>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</si>
  <si>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</si>
  <si>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</si>
  <si>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</si>
  <si>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</si>
  <si>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</si>
  <si>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</si>
  <si>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</si>
  <si>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</si>
  <si>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</si>
  <si>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</si>
  <si>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</si>
  <si>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</si>
  <si>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</si>
  <si>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</si>
  <si>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</si>
  <si>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</si>
  <si>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</si>
  <si>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</si>
  <si>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</si>
  <si>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</si>
  <si>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</si>
  <si>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</si>
  <si>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</si>
  <si>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</si>
  <si>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</si>
  <si>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</si>
  <si>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</si>
  <si>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</si>
  <si>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</si>
  <si>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</si>
  <si>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</si>
  <si>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</si>
  <si>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</si>
  <si>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</si>
  <si>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</si>
  <si>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</si>
  <si>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</si>
  <si>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</si>
  <si>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</si>
  <si>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</si>
  <si>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</si>
  <si>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</si>
  <si>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</si>
  <si>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</si>
  <si>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</si>
  <si>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</si>
  <si>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</si>
  <si>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</si>
  <si>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</si>
  <si>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</si>
  <si>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</si>
  <si>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</si>
  <si>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</si>
  <si>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</si>
  <si>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</si>
  <si>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</si>
  <si>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</si>
  <si>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</si>
  <si>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</si>
  <si>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</si>
  <si>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</si>
  <si>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</si>
  <si>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</si>
  <si>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</si>
  <si>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</si>
  <si>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</si>
  <si>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</si>
  <si>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</si>
  <si>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</si>
  <si>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</si>
  <si>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</si>
  <si>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</si>
  <si>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</si>
  <si>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</si>
  <si>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</si>
  <si>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</si>
  <si>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</si>
  <si>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</si>
  <si>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</si>
  <si>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</si>
  <si>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</si>
  <si>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</si>
  <si>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</si>
  <si>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</si>
  <si>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</si>
  <si>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</si>
  <si>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</si>
  <si>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</si>
  <si>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</si>
  <si>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</si>
  <si>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</si>
  <si>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</si>
  <si>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</si>
  <si>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</si>
  <si>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</si>
  <si>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</si>
  <si>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</si>
  <si>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</si>
  <si>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</si>
  <si>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</si>
  <si>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</si>
  <si>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</si>
  <si>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</si>
  <si>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</si>
  <si>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</si>
  <si>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</si>
  <si>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</si>
  <si>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</si>
  <si>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</si>
  <si>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</si>
  <si>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</si>
  <si>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</si>
  <si>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</si>
  <si>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</si>
  <si>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</si>
  <si>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</si>
  <si>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</si>
  <si>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</si>
  <si>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</si>
  <si>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</si>
  <si>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</si>
  <si>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</si>
  <si>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</si>
  <si>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</si>
  <si>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</si>
  <si>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</si>
  <si>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</si>
  <si>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</si>
  <si>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</si>
  <si>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</si>
  <si>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</si>
  <si>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</si>
  <si>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</si>
  <si>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</si>
  <si>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</si>
  <si>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</si>
  <si>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</si>
  <si>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</si>
  <si>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</si>
  <si>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</si>
  <si>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</si>
  <si>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</si>
  <si>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</si>
  <si>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</si>
  <si>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</si>
  <si>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</si>
  <si>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</si>
  <si>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</si>
  <si>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</si>
  <si>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</si>
  <si>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</si>
  <si>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</si>
  <si>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</si>
  <si>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</si>
  <si>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</si>
  <si>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</si>
  <si>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</si>
  <si>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</si>
  <si>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</si>
  <si>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</si>
  <si>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</si>
  <si>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</si>
  <si>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</si>
  <si>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</si>
  <si>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</si>
  <si>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</si>
  <si>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</si>
  <si>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</si>
  <si>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</si>
  <si>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</si>
  <si>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</si>
  <si>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</si>
  <si>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</si>
  <si>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</si>
  <si>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</si>
  <si>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</si>
  <si>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</si>
  <si>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</si>
  <si>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</si>
  <si>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</si>
  <si>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</si>
  <si>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</si>
  <si>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</si>
  <si>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</si>
  <si>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</si>
  <si>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</si>
  <si>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</si>
  <si>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</si>
  <si>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</si>
  <si>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</si>
  <si>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</si>
  <si>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</si>
  <si>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</si>
  <si>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</si>
  <si>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</si>
  <si>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</si>
  <si>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</si>
  <si>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</si>
  <si>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</si>
  <si>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</si>
  <si>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</si>
  <si>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</si>
  <si>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</si>
  <si>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</si>
  <si>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</si>
  <si>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</si>
  <si>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</si>
  <si>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</si>
  <si>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</si>
  <si>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</si>
  <si>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</si>
  <si>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</si>
  <si>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</si>
  <si>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</si>
  <si>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</si>
  <si>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</si>
  <si>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</si>
  <si>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</si>
  <si>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</si>
  <si>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</si>
  <si>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</si>
  <si>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</si>
  <si>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</si>
  <si>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</si>
  <si>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</si>
  <si>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</si>
  <si>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</si>
  <si>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</si>
  <si>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</si>
  <si>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</si>
  <si>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</si>
  <si>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</si>
  <si>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</si>
  <si>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</si>
  <si>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</si>
  <si>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</si>
  <si>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</si>
  <si>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</si>
  <si>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</si>
  <si>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</si>
  <si>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</si>
  <si>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</si>
  <si>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</si>
  <si>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</si>
  <si>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</si>
  <si>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</si>
  <si>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</si>
  <si>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</si>
  <si>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</si>
  <si>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</si>
  <si>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</si>
  <si>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</si>
  <si>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</si>
  <si>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</si>
  <si>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</si>
  <si>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</si>
  <si>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</si>
  <si>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</si>
  <si>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</si>
  <si>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</si>
  <si>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</si>
  <si>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</si>
  <si>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</si>
  <si>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</si>
  <si>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</si>
  <si>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</si>
  <si>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</si>
  <si>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</si>
  <si>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</si>
  <si>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</si>
  <si>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</si>
  <si>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</si>
  <si>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</si>
  <si>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</si>
  <si>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</si>
  <si>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</si>
  <si>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</si>
  <si>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</si>
  <si>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</si>
  <si>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</si>
  <si>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</si>
  <si>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</si>
  <si>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</si>
  <si>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</si>
  <si>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</si>
  <si>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</si>
  <si>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</si>
  <si>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</si>
  <si>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</si>
  <si>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</si>
  <si>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</si>
  <si>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</si>
  <si>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</si>
  <si>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</si>
  <si>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</si>
  <si>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</si>
  <si>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</si>
  <si>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</si>
  <si>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</si>
  <si>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</si>
  <si>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</si>
  <si>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</si>
  <si>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</si>
  <si>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</si>
  <si>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</si>
  <si>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</si>
  <si>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</si>
  <si>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</si>
  <si>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</si>
  <si>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</si>
  <si>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</si>
  <si>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</si>
  <si>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</si>
  <si>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</si>
  <si>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</si>
  <si>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</si>
  <si>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</si>
  <si>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</si>
  <si>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</si>
  <si>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</si>
  <si>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</si>
  <si>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</si>
  <si>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</si>
  <si>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</si>
  <si>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</si>
  <si>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</si>
  <si>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</si>
  <si>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</si>
  <si>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</si>
  <si>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</si>
  <si>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</si>
  <si>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</si>
  <si>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</si>
  <si>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</si>
  <si>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</si>
  <si>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</si>
  <si>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</si>
  <si>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</si>
  <si>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</si>
  <si>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</si>
  <si>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</si>
  <si>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</si>
  <si>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</si>
  <si>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</si>
  <si>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</si>
  <si>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</si>
  <si>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</si>
  <si>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</si>
  <si>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</si>
  <si>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</si>
  <si>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</si>
  <si>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</si>
  <si>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</si>
  <si>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</si>
  <si>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</si>
  <si>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</si>
  <si>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</si>
  <si>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</si>
  <si>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</si>
  <si>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</si>
  <si>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</si>
  <si>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</si>
  <si>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</si>
  <si>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</si>
  <si>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</si>
  <si>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</si>
  <si>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</si>
  <si>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</si>
  <si>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</si>
  <si>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</si>
  <si>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</si>
  <si>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</si>
  <si>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</si>
  <si>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</si>
  <si>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</si>
  <si>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</si>
  <si>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</si>
  <si>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</si>
  <si>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</si>
  <si>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</si>
  <si>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</si>
  <si>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</si>
  <si>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</si>
  <si>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</si>
  <si>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</si>
  <si>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</si>
  <si>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</si>
  <si>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</si>
  <si>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</si>
  <si>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</si>
  <si>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</si>
  <si>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</si>
  <si>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</si>
  <si>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</si>
  <si>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</si>
  <si>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</si>
  <si>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</si>
  <si>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</si>
  <si>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</si>
  <si>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</si>
  <si>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</si>
  <si>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</si>
  <si>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</si>
  <si>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</si>
  <si>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</si>
  <si>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</si>
  <si>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</si>
  <si>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</si>
  <si>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</si>
  <si>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</si>
  <si>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</si>
  <si>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</si>
  <si>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</si>
  <si>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</si>
  <si>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</si>
  <si>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</si>
  <si>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</si>
  <si>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</si>
  <si>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</si>
  <si>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</si>
  <si>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</si>
  <si>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</si>
  <si>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</si>
  <si>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</si>
  <si>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</si>
  <si>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</si>
  <si>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</si>
  <si>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</si>
  <si>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</si>
  <si>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</si>
  <si>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</si>
  <si>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???</t>
  </si>
  <si>
    <t>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</si>
</sst>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 tint="0.3999450666829432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6" borderId="0" xfId="0" applyNumberFormat="1" applyFont="1" applyFill="1" applyProtection="1">
      <protection locked="0"/>
    </xf>
    <xf numFmtId="2" fontId="10" fillId="6" borderId="0" xfId="0" applyNumberFormat="1" applyFont="1" applyFill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topLeftCell="A629" zoomScaleNormal="100" workbookViewId="0">
      <selection activeCell="G670" sqref="G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187</v>
      </c>
      <c r="C2" s="21">
        <v>187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152899.34+196901.47</f>
        <v>349800.81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240000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-189.75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112681.26+725+801.83-96497.79</f>
        <v>17710.300000000003</v>
      </c>
      <c r="G13" s="18"/>
      <c r="H13" s="18">
        <v>1453.44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367511.11</v>
      </c>
      <c r="G19" s="41">
        <f>SUM(G9:G18)</f>
        <v>0</v>
      </c>
      <c r="H19" s="41">
        <f>SUM(H9:H18)</f>
        <v>1263.69</v>
      </c>
      <c r="I19" s="41">
        <f>SUM(I9:I18)</f>
        <v>0</v>
      </c>
      <c r="J19" s="41">
        <f>SUM(J9:J18)</f>
        <v>240000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0</f>
        <v>0</v>
      </c>
      <c r="G23" s="18">
        <v>0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166160.09-156142.85</f>
        <v>10017.239999999991</v>
      </c>
      <c r="G24" s="18"/>
      <c r="H24" s="18">
        <v>1305.67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619.54</f>
        <v>619.54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0</v>
      </c>
      <c r="H30" s="18">
        <v>-41.98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10636.779999999992</v>
      </c>
      <c r="G32" s="41">
        <f>SUM(G22:G31)</f>
        <v>0</v>
      </c>
      <c r="H32" s="41">
        <f>SUM(H22:H31)</f>
        <v>1263.69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87140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240000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78065.78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91668.55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356874.33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240000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367511.11</v>
      </c>
      <c r="G52" s="41">
        <f>G51+G32</f>
        <v>0</v>
      </c>
      <c r="H52" s="41">
        <f>H51+H32</f>
        <v>1263.69</v>
      </c>
      <c r="I52" s="41">
        <f>I51+I32</f>
        <v>0</v>
      </c>
      <c r="J52" s="41">
        <f>J51+J32</f>
        <v>240000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2376530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2376530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3600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60444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64044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73760.740000000005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73760.740000000005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111.33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10511.16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10622.49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2524957.2300000004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1109060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1109060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23.4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23.4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1109060</v>
      </c>
      <c r="G140" s="41">
        <f>G121+SUM(G136:G137)</f>
        <v>23.4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17528.919999999998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14022.24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3109.27-23.4</f>
        <v>3085.87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5963.92-64.48</f>
        <v>5899.4400000000005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5899.4400000000005</v>
      </c>
      <c r="G162" s="41">
        <f>SUM(G150:G161)</f>
        <v>3085.87</v>
      </c>
      <c r="H162" s="41">
        <f>SUM(H150:H161)</f>
        <v>31551.159999999996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5899.4400000000005</v>
      </c>
      <c r="G169" s="41">
        <f>G147+G162+SUM(G163:G168)</f>
        <v>3085.87</v>
      </c>
      <c r="H169" s="41">
        <f>H147+H162+SUM(H163:H168)</f>
        <v>31551.159999999996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3639916.6700000004</v>
      </c>
      <c r="G193" s="47">
        <f>G112+G140+G169+G192</f>
        <v>3109.27</v>
      </c>
      <c r="H193" s="47">
        <f>H112+H140+H169+H192</f>
        <v>31551.159999999996</v>
      </c>
      <c r="I193" s="47">
        <f>I112+I140+I169+I192</f>
        <v>0</v>
      </c>
      <c r="J193" s="47">
        <f>J112+J140+J192</f>
        <v>240000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400682.85+415.65</f>
        <v>401098.5</v>
      </c>
      <c r="G197" s="18">
        <f>153527.49+41.53</f>
        <v>153569.01999999999</v>
      </c>
      <c r="H197" s="18">
        <f>29100.54+9209</f>
        <v>38309.54</v>
      </c>
      <c r="I197" s="18">
        <f>18373.39+57.98</f>
        <v>18431.37</v>
      </c>
      <c r="J197" s="18">
        <v>6975.38</v>
      </c>
      <c r="K197" s="18"/>
      <c r="L197" s="19">
        <f>SUM(F197:K197)</f>
        <v>618383.81000000006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102553.84</v>
      </c>
      <c r="G198" s="18">
        <v>49028.689999999995</v>
      </c>
      <c r="H198" s="18">
        <v>4531.28</v>
      </c>
      <c r="I198" s="18">
        <v>454.11</v>
      </c>
      <c r="J198" s="18"/>
      <c r="K198" s="18"/>
      <c r="L198" s="19">
        <f>SUM(F198:K198)</f>
        <v>156567.91999999998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>
        <v>2710.71</v>
      </c>
      <c r="I200" s="18"/>
      <c r="J200" s="18"/>
      <c r="K200" s="18"/>
      <c r="L200" s="19">
        <f>SUM(F200:K200)</f>
        <v>2710.71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86091.82</v>
      </c>
      <c r="G202" s="18">
        <v>20868.41</v>
      </c>
      <c r="H202" s="18">
        <v>102902.78</v>
      </c>
      <c r="I202" s="18">
        <v>282.82</v>
      </c>
      <c r="J202" s="18"/>
      <c r="K202" s="18">
        <v>308</v>
      </c>
      <c r="L202" s="19">
        <f t="shared" ref="L202:L208" si="0">SUM(F202:K202)</f>
        <v>210453.83000000002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3376.25</v>
      </c>
      <c r="G203" s="18">
        <v>9579.34</v>
      </c>
      <c r="H203" s="18">
        <v>3545.3500000000004</v>
      </c>
      <c r="I203" s="18">
        <v>16795.46</v>
      </c>
      <c r="J203" s="18"/>
      <c r="K203" s="18"/>
      <c r="L203" s="19">
        <f t="shared" si="0"/>
        <v>33296.400000000001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7750</v>
      </c>
      <c r="G204" s="18">
        <v>592.9</v>
      </c>
      <c r="H204" s="18">
        <f>169221.7+96</f>
        <v>169317.7</v>
      </c>
      <c r="I204" s="18"/>
      <c r="J204" s="18"/>
      <c r="K204" s="18">
        <v>2907.49</v>
      </c>
      <c r="L204" s="19">
        <f t="shared" si="0"/>
        <v>180568.09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105035.4</v>
      </c>
      <c r="G205" s="18">
        <v>55934.07</v>
      </c>
      <c r="H205" s="18">
        <v>8321.5999999999985</v>
      </c>
      <c r="I205" s="18">
        <f>1328.4+83.7</f>
        <v>1412.1000000000001</v>
      </c>
      <c r="J205" s="18">
        <v>5035.47</v>
      </c>
      <c r="K205" s="18">
        <v>0</v>
      </c>
      <c r="L205" s="19">
        <f t="shared" si="0"/>
        <v>175738.64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39962.980000000003</v>
      </c>
      <c r="G207" s="18">
        <v>15437.55</v>
      </c>
      <c r="H207" s="18">
        <f>36574.02</f>
        <v>36574.019999999997</v>
      </c>
      <c r="I207" s="18">
        <f>49523.28+78+1053.7+17.97+23.33+62</f>
        <v>50758.28</v>
      </c>
      <c r="J207" s="18">
        <v>10549.46</v>
      </c>
      <c r="K207" s="18"/>
      <c r="L207" s="19">
        <f t="shared" si="0"/>
        <v>153282.28999999998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46056.806101694921</v>
      </c>
      <c r="G208" s="18">
        <v>45036.234576271199</v>
      </c>
      <c r="H208" s="18">
        <f>27442.2233898305+92+521.76+470.31</f>
        <v>28526.293389830498</v>
      </c>
      <c r="I208" s="18">
        <v>19545.003389830508</v>
      </c>
      <c r="J208" s="18">
        <v>908.31</v>
      </c>
      <c r="K208" s="18">
        <v>94.440677966101703</v>
      </c>
      <c r="L208" s="19">
        <f t="shared" si="0"/>
        <v>140167.08813559322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8989.4699999999993</v>
      </c>
      <c r="G209" s="18">
        <v>932.12</v>
      </c>
      <c r="H209" s="18">
        <v>14429.63</v>
      </c>
      <c r="I209" s="18">
        <v>584.80999999999995</v>
      </c>
      <c r="J209" s="18"/>
      <c r="K209" s="18"/>
      <c r="L209" s="19">
        <f>SUM(F209:K209)</f>
        <v>24936.030000000002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800915.06610169483</v>
      </c>
      <c r="G211" s="41">
        <f t="shared" si="1"/>
        <v>350978.33457627118</v>
      </c>
      <c r="H211" s="41">
        <f t="shared" si="1"/>
        <v>409168.90338983049</v>
      </c>
      <c r="I211" s="41">
        <f t="shared" si="1"/>
        <v>108263.95338983049</v>
      </c>
      <c r="J211" s="41">
        <f t="shared" si="1"/>
        <v>23468.62</v>
      </c>
      <c r="K211" s="41">
        <f t="shared" si="1"/>
        <v>3309.9306779661015</v>
      </c>
      <c r="L211" s="41">
        <f t="shared" si="1"/>
        <v>1696104.8081355931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364448</v>
      </c>
      <c r="I215" s="18"/>
      <c r="J215" s="18"/>
      <c r="K215" s="18"/>
      <c r="L215" s="19">
        <f>SUM(F215:K215)</f>
        <v>364448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33997.03</v>
      </c>
      <c r="I216" s="18"/>
      <c r="J216" s="18"/>
      <c r="K216" s="18"/>
      <c r="L216" s="19">
        <f>SUM(F216:K216)</f>
        <v>33997.03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17271.302288135594</v>
      </c>
      <c r="G226" s="18">
        <v>16888.587966101699</v>
      </c>
      <c r="H226" s="18">
        <v>8150.9862711864389</v>
      </c>
      <c r="I226" s="18">
        <v>5102.2062711864401</v>
      </c>
      <c r="J226" s="18">
        <v>41.97</v>
      </c>
      <c r="K226" s="18">
        <v>35.415254237288138</v>
      </c>
      <c r="L226" s="19">
        <f t="shared" si="2"/>
        <v>47490.46805084747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17271.302288135594</v>
      </c>
      <c r="G229" s="41">
        <f>SUM(G215:G228)</f>
        <v>16888.587966101699</v>
      </c>
      <c r="H229" s="41">
        <f>SUM(H215:H228)</f>
        <v>406596.01627118647</v>
      </c>
      <c r="I229" s="41">
        <f>SUM(I215:I228)</f>
        <v>5102.2062711864401</v>
      </c>
      <c r="J229" s="41">
        <f>SUM(J215:J228)</f>
        <v>41.97</v>
      </c>
      <c r="K229" s="41">
        <f t="shared" si="3"/>
        <v>35.415254237288138</v>
      </c>
      <c r="L229" s="41">
        <f t="shared" si="3"/>
        <v>445935.4980508475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937201</v>
      </c>
      <c r="I233" s="18"/>
      <c r="J233" s="18"/>
      <c r="K233" s="18"/>
      <c r="L233" s="19">
        <f>SUM(F233:K233)</f>
        <v>937201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8234.0300000000007</v>
      </c>
      <c r="I234" s="18"/>
      <c r="J234" s="18"/>
      <c r="K234" s="18"/>
      <c r="L234" s="19">
        <f>SUM(F234:K234)</f>
        <v>8234.0300000000007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33720.161610169496</v>
      </c>
      <c r="G244" s="18">
        <v>32972.957457627133</v>
      </c>
      <c r="H244" s="18">
        <v>15913.830338983049</v>
      </c>
      <c r="I244" s="18">
        <v>9961.4503389830497</v>
      </c>
      <c r="J244" s="18">
        <v>81.94</v>
      </c>
      <c r="K244" s="18">
        <v>69.144067796610173</v>
      </c>
      <c r="L244" s="19">
        <f t="shared" si="4"/>
        <v>92719.483813559345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33720.161610169496</v>
      </c>
      <c r="G247" s="41">
        <f t="shared" si="5"/>
        <v>32972.957457627133</v>
      </c>
      <c r="H247" s="41">
        <f t="shared" si="5"/>
        <v>961348.86033898313</v>
      </c>
      <c r="I247" s="41">
        <f t="shared" si="5"/>
        <v>9961.4503389830497</v>
      </c>
      <c r="J247" s="41">
        <f t="shared" si="5"/>
        <v>81.94</v>
      </c>
      <c r="K247" s="41">
        <f t="shared" si="5"/>
        <v>69.144067796610173</v>
      </c>
      <c r="L247" s="41">
        <f t="shared" si="5"/>
        <v>1038154.5138135594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851906.52999999991</v>
      </c>
      <c r="G257" s="41">
        <f t="shared" si="8"/>
        <v>400839.88</v>
      </c>
      <c r="H257" s="41">
        <f t="shared" si="8"/>
        <v>1777113.78</v>
      </c>
      <c r="I257" s="41">
        <f t="shared" si="8"/>
        <v>123327.60999999999</v>
      </c>
      <c r="J257" s="41">
        <f t="shared" si="8"/>
        <v>23592.53</v>
      </c>
      <c r="K257" s="41">
        <f t="shared" si="8"/>
        <v>3414.49</v>
      </c>
      <c r="L257" s="41">
        <f t="shared" si="8"/>
        <v>3180194.82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240000</v>
      </c>
      <c r="L266" s="19">
        <f t="shared" si="9"/>
        <v>240000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240000</v>
      </c>
      <c r="L270" s="41">
        <f t="shared" si="9"/>
        <v>240000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851906.52999999991</v>
      </c>
      <c r="G271" s="42">
        <f t="shared" si="11"/>
        <v>400839.88</v>
      </c>
      <c r="H271" s="42">
        <f t="shared" si="11"/>
        <v>1777113.78</v>
      </c>
      <c r="I271" s="42">
        <f t="shared" si="11"/>
        <v>123327.60999999999</v>
      </c>
      <c r="J271" s="42">
        <f t="shared" si="11"/>
        <v>23592.53</v>
      </c>
      <c r="K271" s="42">
        <f t="shared" si="11"/>
        <v>243414.49</v>
      </c>
      <c r="L271" s="42">
        <f t="shared" si="11"/>
        <v>3420194.82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9078.01</v>
      </c>
      <c r="G276" s="18">
        <v>793.68</v>
      </c>
      <c r="H276" s="18"/>
      <c r="I276" s="18">
        <v>8769.44</v>
      </c>
      <c r="J276" s="18">
        <v>6590</v>
      </c>
      <c r="K276" s="18"/>
      <c r="L276" s="19">
        <f>SUM(F276:K276)</f>
        <v>25231.13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473</v>
      </c>
      <c r="J277" s="18"/>
      <c r="K277" s="18"/>
      <c r="L277" s="19">
        <f>SUM(F277:K277)</f>
        <v>473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900</v>
      </c>
      <c r="G282" s="18">
        <v>176.06</v>
      </c>
      <c r="H282" s="18">
        <v>3500.86</v>
      </c>
      <c r="I282" s="18">
        <v>600</v>
      </c>
      <c r="J282" s="18"/>
      <c r="K282" s="18"/>
      <c r="L282" s="19">
        <f t="shared" si="12"/>
        <v>5176.92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670.11</v>
      </c>
      <c r="L285" s="19">
        <f t="shared" si="12"/>
        <v>670.11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9978.01</v>
      </c>
      <c r="G290" s="42">
        <f t="shared" si="13"/>
        <v>969.74</v>
      </c>
      <c r="H290" s="42">
        <f t="shared" si="13"/>
        <v>3500.86</v>
      </c>
      <c r="I290" s="42">
        <f t="shared" si="13"/>
        <v>9842.44</v>
      </c>
      <c r="J290" s="42">
        <f t="shared" si="13"/>
        <v>6590</v>
      </c>
      <c r="K290" s="42">
        <f t="shared" si="13"/>
        <v>670.11</v>
      </c>
      <c r="L290" s="41">
        <f t="shared" si="13"/>
        <v>31551.160000000003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9978.01</v>
      </c>
      <c r="G338" s="41">
        <f t="shared" si="20"/>
        <v>969.74</v>
      </c>
      <c r="H338" s="41">
        <f t="shared" si="20"/>
        <v>3500.86</v>
      </c>
      <c r="I338" s="41">
        <f t="shared" si="20"/>
        <v>9842.44</v>
      </c>
      <c r="J338" s="41">
        <f t="shared" si="20"/>
        <v>6590</v>
      </c>
      <c r="K338" s="41">
        <f t="shared" si="20"/>
        <v>670.11</v>
      </c>
      <c r="L338" s="41">
        <f t="shared" si="20"/>
        <v>31551.160000000003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9978.01</v>
      </c>
      <c r="G352" s="41">
        <f>G338</f>
        <v>969.74</v>
      </c>
      <c r="H352" s="41">
        <f>H338</f>
        <v>3500.86</v>
      </c>
      <c r="I352" s="41">
        <f>I338</f>
        <v>9842.44</v>
      </c>
      <c r="J352" s="41">
        <f>J338</f>
        <v>6590</v>
      </c>
      <c r="K352" s="47">
        <f>K338+K351</f>
        <v>670.11</v>
      </c>
      <c r="L352" s="41">
        <f>L338+L351</f>
        <v>31551.160000000003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1689.54</v>
      </c>
      <c r="G358" s="18"/>
      <c r="H358" s="18"/>
      <c r="I358" s="18">
        <v>1419.73</v>
      </c>
      <c r="J358" s="18"/>
      <c r="K358" s="18"/>
      <c r="L358" s="13">
        <f>SUM(F358:K358)</f>
        <v>3109.27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1689.54</v>
      </c>
      <c r="G362" s="47">
        <f t="shared" si="22"/>
        <v>0</v>
      </c>
      <c r="H362" s="47">
        <f t="shared" si="22"/>
        <v>0</v>
      </c>
      <c r="I362" s="47">
        <f t="shared" si="22"/>
        <v>1419.73</v>
      </c>
      <c r="J362" s="47">
        <f t="shared" si="22"/>
        <v>0</v>
      </c>
      <c r="K362" s="47">
        <f t="shared" si="22"/>
        <v>0</v>
      </c>
      <c r="L362" s="47">
        <f t="shared" si="22"/>
        <v>3109.27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1324.31</v>
      </c>
      <c r="G367" s="18"/>
      <c r="H367" s="18"/>
      <c r="I367" s="56">
        <f>SUM(F367:H367)</f>
        <v>1324.31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95.42</v>
      </c>
      <c r="G368" s="63"/>
      <c r="H368" s="63"/>
      <c r="I368" s="56">
        <f>SUM(F368:H368)</f>
        <v>95.42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1419.73</v>
      </c>
      <c r="G369" s="47">
        <f>SUM(G367:G368)</f>
        <v>0</v>
      </c>
      <c r="H369" s="47">
        <f>SUM(H367:H368)</f>
        <v>0</v>
      </c>
      <c r="I369" s="47">
        <f>SUM(I367:I368)</f>
        <v>1419.73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4"/>
      <c r="G389" s="18">
        <v>57000</v>
      </c>
      <c r="H389" s="18"/>
      <c r="I389" s="18"/>
      <c r="J389" s="24" t="s">
        <v>289</v>
      </c>
      <c r="K389" s="24" t="s">
        <v>289</v>
      </c>
      <c r="L389" s="56">
        <f>SUM(G389:K389)</f>
        <v>57000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4"/>
      <c r="G390" s="18">
        <v>40000</v>
      </c>
      <c r="H390" s="18"/>
      <c r="I390" s="18"/>
      <c r="J390" s="24" t="s">
        <v>289</v>
      </c>
      <c r="K390" s="24" t="s">
        <v>289</v>
      </c>
      <c r="L390" s="56">
        <f>SUM(G390:K390)</f>
        <v>40000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97000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97000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4"/>
      <c r="G397" s="18">
        <v>67000</v>
      </c>
      <c r="H397" s="18"/>
      <c r="I397" s="18"/>
      <c r="J397" s="24" t="s">
        <v>289</v>
      </c>
      <c r="K397" s="24" t="s">
        <v>289</v>
      </c>
      <c r="L397" s="56">
        <f>SUM(G397:K397)</f>
        <v>67000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4"/>
      <c r="G398" s="18">
        <v>36000</v>
      </c>
      <c r="H398" s="18"/>
      <c r="I398" s="18"/>
      <c r="J398" s="24" t="s">
        <v>289</v>
      </c>
      <c r="K398" s="24" t="s">
        <v>289</v>
      </c>
      <c r="L398" s="56">
        <f>SUM(G398:K398)</f>
        <v>36000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4"/>
      <c r="G399" s="18">
        <v>40000</v>
      </c>
      <c r="H399" s="18"/>
      <c r="I399" s="18"/>
      <c r="J399" s="24" t="s">
        <v>289</v>
      </c>
      <c r="K399" s="24" t="s">
        <v>289</v>
      </c>
      <c r="L399" s="56">
        <f>SUM(G399:K399)</f>
        <v>40000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143000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143000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4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SUM(F399:F406)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240000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240000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4"/>
      <c r="G440" s="18">
        <v>240000</v>
      </c>
      <c r="H440" s="18"/>
      <c r="I440" s="56">
        <f>SUM(G440:H440)</f>
        <v>240000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240000</v>
      </c>
      <c r="H446" s="13">
        <f>SUM(H439:H445)</f>
        <v>0</v>
      </c>
      <c r="I446" s="13">
        <f>SUM(I439:I445)</f>
        <v>240000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240000</v>
      </c>
      <c r="H459" s="18"/>
      <c r="I459" s="56">
        <f t="shared" si="34"/>
        <v>240000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240000</v>
      </c>
      <c r="H460" s="83">
        <f>SUM(H454:H459)</f>
        <v>0</v>
      </c>
      <c r="I460" s="83">
        <f>SUM(I454:I459)</f>
        <v>240000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240000</v>
      </c>
      <c r="H461" s="42">
        <f>H452+H460</f>
        <v>0</v>
      </c>
      <c r="I461" s="42">
        <f>I452+I460</f>
        <v>240000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91490.22</v>
      </c>
      <c r="G465" s="18"/>
      <c r="H465" s="18"/>
      <c r="I465" s="18"/>
      <c r="J465" s="18" t="s">
        <v>911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3639981.15-64.48</f>
        <v>3639916.67</v>
      </c>
      <c r="G468" s="18">
        <v>3109.27</v>
      </c>
      <c r="H468" s="18">
        <f>29774.16+1777</f>
        <v>31551.16</v>
      </c>
      <c r="I468" s="18"/>
      <c r="J468" s="18">
        <v>240000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45662.26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3685578.9299999997</v>
      </c>
      <c r="G470" s="53">
        <f>SUM(G468:G469)</f>
        <v>3109.27</v>
      </c>
      <c r="H470" s="53">
        <f>SUM(H468:H469)</f>
        <v>31551.16</v>
      </c>
      <c r="I470" s="53">
        <f>SUM(I468:I469)</f>
        <v>0</v>
      </c>
      <c r="J470" s="53">
        <f>SUM(J468:J469)</f>
        <v>240000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3420194.82</v>
      </c>
      <c r="G472" s="18">
        <v>3109.27</v>
      </c>
      <c r="H472" s="18">
        <v>31551.16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3420194.82</v>
      </c>
      <c r="G474" s="53">
        <f>SUM(G472:G473)</f>
        <v>3109.27</v>
      </c>
      <c r="H474" s="53">
        <f>SUM(H472:H473)</f>
        <v>31551.16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356874.33000000007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240000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102553.84</v>
      </c>
      <c r="G521" s="18">
        <v>49028.689999999995</v>
      </c>
      <c r="H521" s="18">
        <v>4531.28</v>
      </c>
      <c r="I521" s="18">
        <v>454.11</v>
      </c>
      <c r="J521" s="18"/>
      <c r="K521" s="18"/>
      <c r="L521" s="88">
        <f>SUM(F521:K521)</f>
        <v>156567.91999999998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33997.03</v>
      </c>
      <c r="I522" s="18"/>
      <c r="J522" s="18"/>
      <c r="K522" s="18"/>
      <c r="L522" s="88">
        <f>SUM(F522:K522)</f>
        <v>33997.03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8234.0300000000007</v>
      </c>
      <c r="I523" s="18"/>
      <c r="J523" s="18"/>
      <c r="K523" s="18"/>
      <c r="L523" s="88">
        <f>SUM(F523:K523)</f>
        <v>8234.0300000000007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102553.84</v>
      </c>
      <c r="G524" s="108">
        <f t="shared" ref="G524:L524" si="36">SUM(G521:G523)</f>
        <v>49028.689999999995</v>
      </c>
      <c r="H524" s="108">
        <f t="shared" si="36"/>
        <v>46762.34</v>
      </c>
      <c r="I524" s="108">
        <f t="shared" si="36"/>
        <v>454.11</v>
      </c>
      <c r="J524" s="108">
        <f t="shared" si="36"/>
        <v>0</v>
      </c>
      <c r="K524" s="108">
        <f t="shared" si="36"/>
        <v>0</v>
      </c>
      <c r="L524" s="89">
        <f t="shared" si="36"/>
        <v>198798.97999999998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2710.71</v>
      </c>
      <c r="I526" s="18"/>
      <c r="J526" s="18"/>
      <c r="K526" s="18"/>
      <c r="L526" s="88">
        <f>SUM(F526:K526)</f>
        <v>2710.71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2710.71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2710.71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22898.77765448</v>
      </c>
      <c r="G531" s="18">
        <v>11320.01382204</v>
      </c>
      <c r="H531" s="18">
        <v>1869.5810000000001</v>
      </c>
      <c r="I531" s="18">
        <v>133.54150000000001</v>
      </c>
      <c r="J531" s="18">
        <v>267.08300000000003</v>
      </c>
      <c r="K531" s="18">
        <v>341.86624</v>
      </c>
      <c r="L531" s="88">
        <f>SUM(F531:K531)</f>
        <v>36830.863216519996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22898.77765448</v>
      </c>
      <c r="G534" s="89">
        <f t="shared" ref="G534:L534" si="38">SUM(G531:G533)</f>
        <v>11320.01382204</v>
      </c>
      <c r="H534" s="89">
        <f t="shared" si="38"/>
        <v>1869.5810000000001</v>
      </c>
      <c r="I534" s="89">
        <f t="shared" si="38"/>
        <v>133.54150000000001</v>
      </c>
      <c r="J534" s="89">
        <f t="shared" si="38"/>
        <v>267.08300000000003</v>
      </c>
      <c r="K534" s="89">
        <f t="shared" si="38"/>
        <v>341.86624</v>
      </c>
      <c r="L534" s="89">
        <f t="shared" si="38"/>
        <v>36830.863216519996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1039.5999999999999</v>
      </c>
      <c r="I542" s="18"/>
      <c r="J542" s="18"/>
      <c r="K542" s="18"/>
      <c r="L542" s="88">
        <f>SUM(F542:K542)</f>
        <v>1039.5999999999999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1039.5999999999999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1039.5999999999999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125452.61765448</v>
      </c>
      <c r="G545" s="89">
        <f t="shared" ref="G545:L545" si="41">G524+G529+G534+G539+G544</f>
        <v>60348.703822039999</v>
      </c>
      <c r="H545" s="89">
        <f t="shared" si="41"/>
        <v>52382.230999999992</v>
      </c>
      <c r="I545" s="89">
        <f t="shared" si="41"/>
        <v>587.65150000000006</v>
      </c>
      <c r="J545" s="89">
        <f t="shared" si="41"/>
        <v>267.08300000000003</v>
      </c>
      <c r="K545" s="89">
        <f t="shared" si="41"/>
        <v>341.86624</v>
      </c>
      <c r="L545" s="89">
        <f t="shared" si="41"/>
        <v>239380.15321651998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156567.91999999998</v>
      </c>
      <c r="G549" s="87">
        <f>L526</f>
        <v>2710.71</v>
      </c>
      <c r="H549" s="87">
        <f>L531</f>
        <v>36830.863216519996</v>
      </c>
      <c r="I549" s="87">
        <f>L536</f>
        <v>0</v>
      </c>
      <c r="J549" s="87">
        <f>L541</f>
        <v>0</v>
      </c>
      <c r="K549" s="87">
        <f>SUM(F549:J549)</f>
        <v>196109.49321651997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33997.03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1039.5999999999999</v>
      </c>
      <c r="K550" s="87">
        <f>SUM(F550:J550)</f>
        <v>35036.629999999997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8234.0300000000007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8234.0300000000007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198798.97999999998</v>
      </c>
      <c r="G552" s="89">
        <f t="shared" si="42"/>
        <v>2710.71</v>
      </c>
      <c r="H552" s="89">
        <f t="shared" si="42"/>
        <v>36830.863216519996</v>
      </c>
      <c r="I552" s="89">
        <f t="shared" si="42"/>
        <v>0</v>
      </c>
      <c r="J552" s="89">
        <f t="shared" si="42"/>
        <v>1039.5999999999999</v>
      </c>
      <c r="K552" s="89">
        <f t="shared" si="42"/>
        <v>239380.15321651998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364448</v>
      </c>
      <c r="H575" s="18">
        <v>937201</v>
      </c>
      <c r="I575" s="87">
        <f>SUM(F575:H575)</f>
        <v>1301649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4"/>
      <c r="H576" s="18">
        <v>9209</v>
      </c>
      <c r="I576" s="87">
        <f t="shared" ref="I576:I587" si="47">SUM(F576:H576)</f>
        <v>9209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33997.03</v>
      </c>
      <c r="H579" s="18">
        <v>8234.0300000000007</v>
      </c>
      <c r="I579" s="87">
        <f t="shared" si="47"/>
        <v>42231.06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138138.04+1084.07</f>
        <v>139222.11000000002</v>
      </c>
      <c r="I591" s="18">
        <f>46450.87</f>
        <v>46450.87</v>
      </c>
      <c r="J591" s="18">
        <f>92719.48</f>
        <v>92719.48</v>
      </c>
      <c r="K591" s="104">
        <f t="shared" ref="K591:K597" si="48">SUM(H591:J591)</f>
        <v>278392.46000000002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>
        <v>1039.5999999999999</v>
      </c>
      <c r="J592" s="18"/>
      <c r="K592" s="104">
        <f t="shared" si="48"/>
        <v>1039.5999999999999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944.98</v>
      </c>
      <c r="I595" s="18"/>
      <c r="J595" s="18"/>
      <c r="K595" s="104">
        <f t="shared" si="48"/>
        <v>944.98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140167.09000000003</v>
      </c>
      <c r="I598" s="108">
        <f>SUM(I591:I597)</f>
        <v>47490.47</v>
      </c>
      <c r="J598" s="108">
        <f>SUM(J591:J597)</f>
        <v>92719.48</v>
      </c>
      <c r="K598" s="108">
        <f>SUM(K591:K597)</f>
        <v>280377.03999999998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30182.53</v>
      </c>
      <c r="I604" s="18"/>
      <c r="J604" s="18"/>
      <c r="K604" s="104">
        <f>SUM(H604:J604)</f>
        <v>30182.53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30182.53</v>
      </c>
      <c r="I605" s="108">
        <f>SUM(I602:I604)</f>
        <v>0</v>
      </c>
      <c r="J605" s="108">
        <f>SUM(J602:J604)</f>
        <v>0</v>
      </c>
      <c r="K605" s="108">
        <f>SUM(K602:K604)</f>
        <v>30182.53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367511.11</v>
      </c>
      <c r="H617" s="109">
        <f>SUM(F52)</f>
        <v>367511.11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1263.69</v>
      </c>
      <c r="H619" s="109">
        <f>SUM(H52)</f>
        <v>1263.69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240000</v>
      </c>
      <c r="H621" s="109">
        <f>SUM(J52)</f>
        <v>240000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356874.33</v>
      </c>
      <c r="H622" s="109">
        <f>F476</f>
        <v>356874.33000000007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240000</v>
      </c>
      <c r="H626" s="109">
        <f>J476</f>
        <v>240000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3639916.6700000004</v>
      </c>
      <c r="H627" s="104">
        <f>SUM(F468)</f>
        <v>3639916.67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3109.27</v>
      </c>
      <c r="H628" s="104">
        <f>SUM(G468)</f>
        <v>3109.27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31551.159999999996</v>
      </c>
      <c r="H629" s="104">
        <f>SUM(H468)</f>
        <v>31551.16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240000</v>
      </c>
      <c r="H631" s="104">
        <f>SUM(J468)</f>
        <v>240000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3420194.82</v>
      </c>
      <c r="H632" s="104">
        <f>SUM(F472)</f>
        <v>3420194.82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31551.160000000003</v>
      </c>
      <c r="H633" s="104">
        <f>SUM(H472)</f>
        <v>31551.16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1419.73</v>
      </c>
      <c r="H634" s="104">
        <f>I369</f>
        <v>1419.73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3109.27</v>
      </c>
      <c r="H635" s="104">
        <f>SUM(G472)</f>
        <v>3109.27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240000</v>
      </c>
      <c r="H637" s="164">
        <f>SUM(J468)</f>
        <v>240000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240000</v>
      </c>
      <c r="H640" s="104">
        <f>SUM(G461)</f>
        <v>240000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240000</v>
      </c>
      <c r="H642" s="104">
        <f>SUM(I461)</f>
        <v>240000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240000</v>
      </c>
      <c r="H645" s="104">
        <f>G408</f>
        <v>240000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240000</v>
      </c>
      <c r="H646" s="104">
        <f>L408</f>
        <v>240000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280377.03999999998</v>
      </c>
      <c r="H647" s="104">
        <f>L208+L226+L244</f>
        <v>280377.04000000004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30182.53</v>
      </c>
      <c r="H648" s="104">
        <f>(J257+J338)-(J255+J336)</f>
        <v>30182.53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140167.08813559322</v>
      </c>
      <c r="H649" s="104">
        <f>H598</f>
        <v>140167.09000000003</v>
      </c>
      <c r="I649" s="140" t="s">
        <v>389</v>
      </c>
      <c r="J649" s="109">
        <f t="shared" si="50"/>
        <v>-1.8644068040885031E-3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47490.46805084747</v>
      </c>
      <c r="H650" s="104">
        <f>I598</f>
        <v>47490.47</v>
      </c>
      <c r="I650" s="140" t="s">
        <v>390</v>
      </c>
      <c r="J650" s="109">
        <f t="shared" si="50"/>
        <v>-1.949152530869469E-3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92719.483813559345</v>
      </c>
      <c r="H651" s="104">
        <f>J598</f>
        <v>92719.48</v>
      </c>
      <c r="I651" s="140" t="s">
        <v>391</v>
      </c>
      <c r="J651" s="109">
        <f t="shared" si="50"/>
        <v>3.8135593495098874E-3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240000</v>
      </c>
      <c r="H655" s="104">
        <f>K266+K347</f>
        <v>240000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1730765.238135593</v>
      </c>
      <c r="G660" s="19">
        <f>(L229+L309+L359)</f>
        <v>445935.4980508475</v>
      </c>
      <c r="H660" s="19">
        <f>(L247+L328+L360)</f>
        <v>1038154.5138135594</v>
      </c>
      <c r="I660" s="19">
        <f>SUM(F660:H660)</f>
        <v>3214855.25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139258.77813559322</v>
      </c>
      <c r="G662" s="19">
        <f>(L226+L306)-(J226+J306)</f>
        <v>47448.498050847469</v>
      </c>
      <c r="H662" s="19">
        <f>(L244+L325)-(J244+J325)</f>
        <v>92637.543813559343</v>
      </c>
      <c r="I662" s="19">
        <f>SUM(F662:H662)</f>
        <v>279344.82000000007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30182.53</v>
      </c>
      <c r="G663" s="199">
        <f>SUM(G575:G587)+SUM(I602:I604)+L612</f>
        <v>398445.03</v>
      </c>
      <c r="H663" s="199">
        <f>SUM(H575:H587)+SUM(J602:J604)+L613</f>
        <v>954644.03</v>
      </c>
      <c r="I663" s="19">
        <f>SUM(F663:H663)</f>
        <v>1383271.59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1561323.9299999997</v>
      </c>
      <c r="G664" s="19">
        <f>G660-SUM(G661:G663)</f>
        <v>41.970000000030268</v>
      </c>
      <c r="H664" s="19">
        <f>H660-SUM(H661:H663)</f>
        <v>-9127.0599999999395</v>
      </c>
      <c r="I664" s="19">
        <f>I660-SUM(I661:I663)</f>
        <v>1552238.8399999999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57.09</v>
      </c>
      <c r="G665" s="248"/>
      <c r="H665" s="248"/>
      <c r="I665" s="19">
        <f>SUM(F665:H665)</f>
        <v>57.09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27348.47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27189.33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-41.97</v>
      </c>
      <c r="H669" s="18">
        <f>9127.06</f>
        <v>9127.06</v>
      </c>
      <c r="I669" s="19">
        <f>SUM(F669:H669)</f>
        <v>9085.09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27348.47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27348.47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0" fitToHeight="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G18" sqref="G1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Freedom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410176.51</v>
      </c>
      <c r="C9" s="229">
        <f>'DOE25'!G197+'DOE25'!G215+'DOE25'!G233+'DOE25'!G276+'DOE25'!G295+'DOE25'!G314</f>
        <v>154362.69999999998</v>
      </c>
    </row>
    <row r="10" spans="1:3" x14ac:dyDescent="0.2">
      <c r="A10" t="s">
        <v>779</v>
      </c>
      <c r="B10" s="275">
        <f>400682.85+9078.01+415.65</f>
        <v>410176.51</v>
      </c>
      <c r="C10" s="240">
        <f>153527.49+793.68+41.53</f>
        <v>154362.69999999998</v>
      </c>
    </row>
    <row r="11" spans="1:3" x14ac:dyDescent="0.2">
      <c r="A11" t="s">
        <v>780</v>
      </c>
      <c r="B11" s="274">
        <v>0</v>
      </c>
      <c r="C11" s="240">
        <v>0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410176.51</v>
      </c>
      <c r="C13" s="231">
        <f>SUM(C10:C12)</f>
        <v>154362.69999999998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102553.84</v>
      </c>
      <c r="C18" s="229">
        <f>'DOE25'!G198+'DOE25'!G216+'DOE25'!G234+'DOE25'!G277+'DOE25'!G296+'DOE25'!G315</f>
        <v>49028.689999999995</v>
      </c>
    </row>
    <row r="19" spans="1:3" x14ac:dyDescent="0.2">
      <c r="A19" t="s">
        <v>779</v>
      </c>
      <c r="B19" s="240">
        <v>74209</v>
      </c>
      <c r="C19" s="240">
        <v>38731.51</v>
      </c>
    </row>
    <row r="20" spans="1:3" x14ac:dyDescent="0.2">
      <c r="A20" t="s">
        <v>780</v>
      </c>
      <c r="B20" s="240">
        <v>28344.84</v>
      </c>
      <c r="C20" s="240">
        <v>10297.18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102553.84</v>
      </c>
      <c r="C22" s="231">
        <f>SUM(C19:C21)</f>
        <v>49028.69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0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Freedom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2121542.5</v>
      </c>
      <c r="D5" s="20">
        <f>SUM('DOE25'!L197:L200)+SUM('DOE25'!L215:L218)+SUM('DOE25'!L233:L236)-F5-G5</f>
        <v>2114567.12</v>
      </c>
      <c r="E5" s="243"/>
      <c r="F5" s="255">
        <f>SUM('DOE25'!J197:J200)+SUM('DOE25'!J215:J218)+SUM('DOE25'!J233:J236)</f>
        <v>6975.38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210453.83000000002</v>
      </c>
      <c r="D6" s="20">
        <f>'DOE25'!L202+'DOE25'!L220+'DOE25'!L238-F6-G6</f>
        <v>210145.83000000002</v>
      </c>
      <c r="E6" s="243"/>
      <c r="F6" s="255">
        <f>'DOE25'!J202+'DOE25'!J220+'DOE25'!J238</f>
        <v>0</v>
      </c>
      <c r="G6" s="53">
        <f>'DOE25'!K202+'DOE25'!K220+'DOE25'!K238</f>
        <v>308</v>
      </c>
      <c r="H6" s="259"/>
    </row>
    <row r="7" spans="1:9" x14ac:dyDescent="0.2">
      <c r="A7" s="32">
        <v>2200</v>
      </c>
      <c r="B7" t="s">
        <v>834</v>
      </c>
      <c r="C7" s="245">
        <f t="shared" si="0"/>
        <v>33296.400000000001</v>
      </c>
      <c r="D7" s="20">
        <f>'DOE25'!L203+'DOE25'!L221+'DOE25'!L239-F7-G7</f>
        <v>33296.400000000001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115793.28000000001</v>
      </c>
      <c r="D8" s="243"/>
      <c r="E8" s="20">
        <f>'DOE25'!L204+'DOE25'!L222+'DOE25'!L240-F8-G8-D9-D11</f>
        <v>112885.79000000001</v>
      </c>
      <c r="F8" s="255">
        <f>'DOE25'!J204+'DOE25'!J222+'DOE25'!J240</f>
        <v>0</v>
      </c>
      <c r="G8" s="53">
        <f>'DOE25'!K204+'DOE25'!K222+'DOE25'!K240</f>
        <v>2907.49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21338.089999999997</v>
      </c>
      <c r="D9" s="244">
        <f>180472.09-2800-156334</f>
        <v>21338.089999999997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2800</v>
      </c>
      <c r="D10" s="243"/>
      <c r="E10" s="244">
        <v>2800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43436.72</v>
      </c>
      <c r="D11" s="244">
        <f>156334-112897.28</f>
        <v>43436.72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175738.64</v>
      </c>
      <c r="D12" s="20">
        <f>'DOE25'!L205+'DOE25'!L223+'DOE25'!L241-F12-G12</f>
        <v>170703.17</v>
      </c>
      <c r="E12" s="243"/>
      <c r="F12" s="255">
        <f>'DOE25'!J205+'DOE25'!J223+'DOE25'!J241</f>
        <v>5035.47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153282.28999999998</v>
      </c>
      <c r="D14" s="20">
        <f>'DOE25'!L207+'DOE25'!L225+'DOE25'!L243-F14-G14</f>
        <v>142732.82999999999</v>
      </c>
      <c r="E14" s="243"/>
      <c r="F14" s="255">
        <f>'DOE25'!J207+'DOE25'!J225+'DOE25'!J243</f>
        <v>10549.46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280377.04000000004</v>
      </c>
      <c r="D15" s="20">
        <f>'DOE25'!L208+'DOE25'!L226+'DOE25'!L244-F15-G15</f>
        <v>279145.82000000007</v>
      </c>
      <c r="E15" s="243"/>
      <c r="F15" s="255">
        <f>'DOE25'!J208+'DOE25'!J226+'DOE25'!J244</f>
        <v>1032.22</v>
      </c>
      <c r="G15" s="53">
        <f>'DOE25'!K208+'DOE25'!K226+'DOE25'!K244</f>
        <v>199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24936.030000000002</v>
      </c>
      <c r="D16" s="243"/>
      <c r="E16" s="20">
        <f>'DOE25'!L209+'DOE25'!L227+'DOE25'!L245-F16-G16</f>
        <v>24936.030000000002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1784.96</v>
      </c>
      <c r="D29" s="20">
        <f>'DOE25'!L358+'DOE25'!L359+'DOE25'!L360-'DOE25'!I367-F29-G29</f>
        <v>1784.96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31551.160000000003</v>
      </c>
      <c r="D31" s="20">
        <f>'DOE25'!L290+'DOE25'!L309+'DOE25'!L328+'DOE25'!L333+'DOE25'!L334+'DOE25'!L335-F31-G31</f>
        <v>24291.050000000003</v>
      </c>
      <c r="E31" s="243"/>
      <c r="F31" s="255">
        <f>'DOE25'!J290+'DOE25'!J309+'DOE25'!J328+'DOE25'!J333+'DOE25'!J334+'DOE25'!J335</f>
        <v>6590</v>
      </c>
      <c r="G31" s="53">
        <f>'DOE25'!K290+'DOE25'!K309+'DOE25'!K328+'DOE25'!K333+'DOE25'!K334+'DOE25'!K335</f>
        <v>670.11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3041441.99</v>
      </c>
      <c r="E33" s="246">
        <f>SUM(E5:E31)</f>
        <v>140621.82</v>
      </c>
      <c r="F33" s="246">
        <f>SUM(F5:F31)</f>
        <v>30182.53</v>
      </c>
      <c r="G33" s="246">
        <f>SUM(G5:G31)</f>
        <v>4084.6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140621.82</v>
      </c>
      <c r="E35" s="249"/>
    </row>
    <row r="36" spans="2:8" ht="12" thickTop="1" x14ac:dyDescent="0.2">
      <c r="B36" t="s">
        <v>815</v>
      </c>
      <c r="D36" s="20">
        <f>D33</f>
        <v>3041441.99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78" activePane="bottomLeft" state="frozen"/>
      <selection activeCell="F46" sqref="F46"/>
      <selection pane="bottomLeft" activeCell="F9" sqref="F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Freedom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349800.81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240000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-189.75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17710.300000000003</v>
      </c>
      <c r="D12" s="95">
        <f>'DOE25'!G13</f>
        <v>0</v>
      </c>
      <c r="E12" s="95">
        <f>'DOE25'!H13</f>
        <v>1453.44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367511.11</v>
      </c>
      <c r="D18" s="41">
        <f>SUM(D8:D17)</f>
        <v>0</v>
      </c>
      <c r="E18" s="41">
        <f>SUM(E8:E17)</f>
        <v>1263.69</v>
      </c>
      <c r="F18" s="41">
        <f>SUM(F8:F17)</f>
        <v>0</v>
      </c>
      <c r="G18" s="41">
        <f>SUM(G8:G17)</f>
        <v>240000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10017.239999999991</v>
      </c>
      <c r="D23" s="95">
        <f>'DOE25'!G24</f>
        <v>0</v>
      </c>
      <c r="E23" s="95">
        <f>'DOE25'!H24</f>
        <v>1305.67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619.54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-41.98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10636.779999999992</v>
      </c>
      <c r="D31" s="41">
        <f>SUM(D21:D30)</f>
        <v>0</v>
      </c>
      <c r="E31" s="41">
        <f>SUM(E21:E30)</f>
        <v>1263.69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87140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240000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78065.78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91668.55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356874.33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240000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367511.11</v>
      </c>
      <c r="D51" s="41">
        <f>D50+D31</f>
        <v>0</v>
      </c>
      <c r="E51" s="41">
        <f>E50+E31</f>
        <v>1263.69</v>
      </c>
      <c r="F51" s="41">
        <f>F50+F31</f>
        <v>0</v>
      </c>
      <c r="G51" s="41">
        <f>G50+G31</f>
        <v>240000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2376530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64044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73760.740000000005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111.33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10511.16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148427.22999999998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2524957.23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1109060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1109060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23.4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23.4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1109060</v>
      </c>
      <c r="D81" s="130">
        <f>SUM(D79:D80)+D78+D70</f>
        <v>23.4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5899.4400000000005</v>
      </c>
      <c r="D88" s="95">
        <f>SUM('DOE25'!G153:G161)</f>
        <v>3085.87</v>
      </c>
      <c r="E88" s="95">
        <f>SUM('DOE25'!H153:H161)</f>
        <v>31551.159999999996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5899.4400000000005</v>
      </c>
      <c r="D91" s="131">
        <f>SUM(D85:D90)</f>
        <v>3085.87</v>
      </c>
      <c r="E91" s="131">
        <f>SUM(E85:E90)</f>
        <v>31551.159999999996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240000</v>
      </c>
    </row>
    <row r="104" spans="1:7" ht="12.75" thickTop="1" thickBot="1" x14ac:dyDescent="0.25">
      <c r="A104" s="33" t="s">
        <v>765</v>
      </c>
      <c r="C104" s="86">
        <f>C63+C81+C91+C103</f>
        <v>3639916.67</v>
      </c>
      <c r="D104" s="86">
        <f>D63+D81+D91+D103</f>
        <v>3109.27</v>
      </c>
      <c r="E104" s="86">
        <f>E63+E81+E91+E103</f>
        <v>31551.159999999996</v>
      </c>
      <c r="F104" s="86">
        <f>F63+F81+F91+F103</f>
        <v>0</v>
      </c>
      <c r="G104" s="86">
        <f>G63+G81+G103</f>
        <v>240000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1920032.81</v>
      </c>
      <c r="D109" s="24" t="s">
        <v>289</v>
      </c>
      <c r="E109" s="95">
        <f>('DOE25'!L276)+('DOE25'!L295)+('DOE25'!L314)</f>
        <v>25231.13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198798.97999999998</v>
      </c>
      <c r="D110" s="24" t="s">
        <v>289</v>
      </c>
      <c r="E110" s="95">
        <f>('DOE25'!L277)+('DOE25'!L296)+('DOE25'!L315)</f>
        <v>473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2710.71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2121542.5</v>
      </c>
      <c r="D115" s="86">
        <f>SUM(D109:D114)</f>
        <v>0</v>
      </c>
      <c r="E115" s="86">
        <f>SUM(E109:E114)</f>
        <v>25704.13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210453.83000000002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33296.400000000001</v>
      </c>
      <c r="D119" s="24" t="s">
        <v>289</v>
      </c>
      <c r="E119" s="95">
        <f>+('DOE25'!L282)+('DOE25'!L301)+('DOE25'!L320)</f>
        <v>5176.92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180568.09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175738.64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670.11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153282.28999999998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280377.04000000004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24936.030000000002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3109.27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1058652.32</v>
      </c>
      <c r="D128" s="86">
        <f>SUM(D118:D127)</f>
        <v>3109.27</v>
      </c>
      <c r="E128" s="86">
        <f>SUM(E118:E127)</f>
        <v>5847.03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97000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143000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240000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3420194.8200000003</v>
      </c>
      <c r="D145" s="86">
        <f>(D115+D128+D144)</f>
        <v>3109.27</v>
      </c>
      <c r="E145" s="86">
        <f>(E115+E128+E144)</f>
        <v>31551.16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Freedom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27348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27348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1945264</v>
      </c>
      <c r="D10" s="182">
        <f>ROUND((C10/$C$28)*100,1)</f>
        <v>60.5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199272</v>
      </c>
      <c r="D11" s="182">
        <f>ROUND((C11/$C$28)*100,1)</f>
        <v>6.2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2711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210454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38473</v>
      </c>
      <c r="D16" s="182">
        <f t="shared" si="0"/>
        <v>1.2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205504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175739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670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153282</v>
      </c>
      <c r="D20" s="182">
        <f t="shared" si="0"/>
        <v>4.8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280377</v>
      </c>
      <c r="D21" s="182">
        <f t="shared" si="0"/>
        <v>8.6999999999999993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3109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3214855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3214855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2376530</v>
      </c>
      <c r="D35" s="182">
        <f t="shared" ref="D35:D40" si="1">ROUND((C35/$C$41)*100,1)</f>
        <v>64.7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148427.23000000045</v>
      </c>
      <c r="D36" s="182">
        <f t="shared" si="1"/>
        <v>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1109060</v>
      </c>
      <c r="D37" s="182">
        <f t="shared" si="1"/>
        <v>30.2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23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40536</v>
      </c>
      <c r="D39" s="182">
        <f t="shared" si="1"/>
        <v>1.1000000000000001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3674576.2300000004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Freedom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2015-09-18T14:58:44Z</cp:lastPrinted>
  <dcterms:created xsi:type="dcterms:W3CDTF">1997-12-04T19:04:30Z</dcterms:created>
  <dcterms:modified xsi:type="dcterms:W3CDTF">2015-09-18T15:07:06Z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