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C19" i="12"/>
  <c r="C20" i="12"/>
  <c r="C11" i="12" l="1"/>
  <c r="C10" i="12"/>
  <c r="B37" i="12"/>
  <c r="B39" i="12"/>
  <c r="B38" i="12"/>
  <c r="B19" i="12"/>
  <c r="B20" i="12"/>
  <c r="B11" i="12"/>
  <c r="B10" i="12"/>
  <c r="B12" i="12"/>
  <c r="H575" i="1" l="1"/>
  <c r="H541" i="1"/>
  <c r="H526" i="1"/>
  <c r="J521" i="1"/>
  <c r="I521" i="1"/>
  <c r="H521" i="1"/>
  <c r="G521" i="1"/>
  <c r="F52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J640" i="1" s="1"/>
  <c r="H461" i="1"/>
  <c r="H641" i="1" s="1"/>
  <c r="J641" i="1" s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J257" i="1"/>
  <c r="J271" i="1" s="1"/>
  <c r="H112" i="1"/>
  <c r="F112" i="1"/>
  <c r="J639" i="1"/>
  <c r="K605" i="1"/>
  <c r="G648" i="1" s="1"/>
  <c r="J571" i="1"/>
  <c r="K571" i="1"/>
  <c r="L433" i="1"/>
  <c r="L419" i="1"/>
  <c r="D81" i="2"/>
  <c r="I169" i="1"/>
  <c r="H169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H571" i="1"/>
  <c r="L560" i="1"/>
  <c r="H338" i="1"/>
  <c r="H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K551" i="1"/>
  <c r="C22" i="13"/>
  <c r="C138" i="2"/>
  <c r="C16" i="13"/>
  <c r="H33" i="13"/>
  <c r="J649" i="1" l="1"/>
  <c r="K598" i="1"/>
  <c r="G647" i="1" s="1"/>
  <c r="J647" i="1" s="1"/>
  <c r="H545" i="1"/>
  <c r="L529" i="1"/>
  <c r="L545" i="1" s="1"/>
  <c r="K549" i="1"/>
  <c r="K552" i="1" s="1"/>
  <c r="L362" i="1"/>
  <c r="D145" i="2"/>
  <c r="L247" i="1"/>
  <c r="H660" i="1" s="1"/>
  <c r="H664" i="1" s="1"/>
  <c r="C10" i="10"/>
  <c r="H257" i="1"/>
  <c r="H271" i="1" s="1"/>
  <c r="C115" i="2"/>
  <c r="E33" i="13"/>
  <c r="D35" i="13" s="1"/>
  <c r="C118" i="2"/>
  <c r="C128" i="2" s="1"/>
  <c r="C15" i="10"/>
  <c r="L211" i="1"/>
  <c r="L257" i="1" s="1"/>
  <c r="L271" i="1" s="1"/>
  <c r="G632" i="1" s="1"/>
  <c r="J632" i="1" s="1"/>
  <c r="H476" i="1"/>
  <c r="H624" i="1" s="1"/>
  <c r="J624" i="1" s="1"/>
  <c r="F476" i="1"/>
  <c r="H622" i="1" s="1"/>
  <c r="C81" i="2"/>
  <c r="C62" i="2"/>
  <c r="C63" i="2" s="1"/>
  <c r="J623" i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G672" i="1" l="1"/>
  <c r="C5" i="10" s="1"/>
  <c r="H667" i="1"/>
  <c r="H672" i="1"/>
  <c r="C6" i="10" s="1"/>
  <c r="C28" i="10"/>
  <c r="D19" i="10" s="1"/>
  <c r="F660" i="1"/>
  <c r="F664" i="1" s="1"/>
  <c r="F672" i="1" s="1"/>
  <c r="C4" i="10" s="1"/>
  <c r="G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1" i="10" l="1"/>
  <c r="C30" i="10"/>
  <c r="D24" i="10"/>
  <c r="D20" i="10"/>
  <c r="D13" i="10"/>
  <c r="D22" i="10"/>
  <c r="D27" i="10"/>
  <c r="D21" i="10"/>
  <c r="D23" i="10"/>
  <c r="D18" i="10"/>
  <c r="D10" i="10"/>
  <c r="D26" i="10"/>
  <c r="D12" i="10"/>
  <c r="D17" i="10"/>
  <c r="D16" i="10"/>
  <c r="D15" i="10"/>
  <c r="D25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<sst xmlns="http://schemas.openxmlformats.org/spreadsheetml/2006/main" count="3959" uniqueCount="916">
  <si>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</si>
  <si>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</si>
  <si>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</si>
  <si>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</si>
  <si>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</si>
  <si>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</si>
  <si>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</si>
  <si>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</si>
  <si>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</si>
  <si>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</si>
  <si>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</si>
  <si>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</si>
  <si>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</si>
  <si>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</si>
  <si>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</si>
  <si>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</si>
  <si>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</si>
  <si>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</si>
  <si>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</si>
  <si>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</si>
  <si>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</si>
  <si>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</si>
  <si>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</si>
  <si>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</si>
  <si>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</si>
  <si>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</si>
  <si>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</si>
  <si>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</si>
  <si>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</si>
  <si>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</si>
  <si>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</si>
  <si>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</si>
  <si>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</si>
  <si>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</si>
  <si>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</si>
  <si>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</si>
  <si>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</si>
  <si>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</si>
  <si>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</si>
  <si>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</si>
  <si>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</si>
  <si>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</si>
  <si>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</si>
  <si>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</si>
  <si>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</si>
  <si>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</si>
  <si>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</si>
  <si>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</si>
  <si>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</si>
  <si>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</si>
  <si>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</si>
  <si>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</si>
  <si>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</si>
  <si>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</si>
  <si>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</si>
  <si>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</si>
  <si>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</si>
  <si>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</si>
  <si>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</si>
  <si>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</si>
  <si>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</si>
  <si>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</si>
  <si>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</si>
  <si>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</si>
  <si>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</si>
  <si>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</si>
  <si>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</si>
  <si>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</si>
  <si>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</si>
  <si>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</si>
  <si>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</si>
  <si>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</si>
  <si>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</si>
  <si>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</si>
  <si>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</si>
  <si>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</si>
  <si>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</si>
  <si>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</si>
  <si>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</si>
  <si>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</si>
  <si>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</si>
  <si>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</si>
  <si>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</si>
  <si>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</si>
  <si>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</si>
  <si>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</si>
  <si>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</si>
  <si>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</si>
  <si>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</si>
  <si>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</si>
  <si>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</si>
  <si>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</si>
  <si>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</si>
  <si>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</si>
  <si>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</si>
  <si>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</si>
  <si>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</si>
  <si>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</si>
  <si>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</si>
  <si>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</si>
  <si>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</si>
  <si>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</si>
  <si>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</si>
  <si>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</si>
  <si>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</si>
  <si>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</si>
  <si>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</si>
  <si>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</si>
  <si>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</si>
  <si>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</si>
  <si>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</si>
  <si>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</si>
  <si>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</si>
  <si>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</si>
  <si>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</si>
  <si>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</si>
  <si>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</si>
  <si>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</si>
  <si>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</si>
  <si>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</si>
  <si>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</si>
  <si>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</si>
  <si>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</si>
  <si>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</si>
  <si>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</si>
  <si>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</si>
  <si>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</si>
  <si>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</si>
  <si>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</si>
  <si>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</si>
  <si>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</si>
  <si>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</si>
  <si>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</si>
  <si>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</si>
  <si>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</si>
  <si>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</si>
  <si>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</si>
  <si>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</si>
  <si>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</si>
  <si>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</si>
  <si>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</si>
  <si>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</si>
  <si>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</si>
  <si>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</si>
  <si>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</si>
  <si>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</si>
  <si>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</si>
  <si>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</si>
  <si>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</si>
  <si>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</si>
  <si>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</si>
  <si>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</si>
  <si>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</si>
  <si>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</si>
  <si>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</si>
  <si>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</si>
  <si>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</si>
  <si>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</si>
  <si>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</si>
  <si>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</si>
  <si>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</si>
  <si>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</si>
  <si>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</si>
  <si>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</si>
  <si>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</si>
  <si>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</si>
  <si>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</si>
  <si>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</si>
  <si>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</si>
  <si>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</si>
  <si>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</si>
  <si>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</si>
  <si>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</si>
  <si>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</si>
  <si>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</si>
  <si>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</si>
  <si>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</si>
  <si>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</si>
  <si>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</si>
  <si>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</si>
  <si>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</si>
  <si>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</si>
  <si>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</si>
  <si>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</si>
  <si>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</si>
  <si>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</si>
  <si>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</si>
  <si>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</si>
  <si>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</si>
  <si>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</si>
  <si>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</si>
  <si>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</si>
  <si>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</si>
  <si>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</si>
  <si>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</si>
  <si>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</si>
  <si>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</si>
  <si>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</si>
  <si>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</si>
  <si>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</si>
  <si>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</si>
  <si>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</si>
  <si>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</si>
  <si>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</si>
  <si>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</si>
  <si>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</si>
  <si>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</si>
  <si>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</si>
  <si>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</si>
  <si>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</si>
  <si>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</si>
  <si>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</si>
  <si>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</si>
  <si>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</si>
  <si>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</si>
  <si>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</si>
  <si>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</si>
  <si>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</si>
  <si>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</si>
  <si>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</si>
  <si>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</si>
  <si>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</si>
  <si>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</si>
  <si>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</si>
  <si>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</si>
  <si>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</si>
  <si>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</si>
  <si>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</si>
  <si>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</si>
  <si>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</si>
  <si>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</si>
  <si>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</si>
  <si>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</si>
  <si>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</si>
  <si>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</si>
  <si>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</si>
  <si>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</si>
  <si>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</si>
  <si>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</si>
  <si>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</si>
  <si>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</si>
  <si>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</si>
  <si>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</si>
  <si>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</si>
  <si>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</si>
  <si>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</si>
  <si>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</si>
  <si>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</si>
  <si>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</si>
  <si>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</si>
  <si>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</si>
  <si>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</si>
  <si>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</si>
  <si>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</si>
  <si>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</si>
  <si>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</si>
  <si>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</si>
  <si>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</si>
  <si>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</si>
  <si>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</si>
  <si>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</si>
  <si>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</si>
  <si>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</si>
  <si>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</si>
  <si>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</si>
  <si>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</si>
  <si>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</si>
  <si>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</si>
  <si>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</si>
  <si>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</si>
  <si>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</si>
  <si>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</si>
  <si>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</si>
  <si>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</si>
  <si>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</si>
  <si>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</si>
  <si>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</si>
  <si>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</si>
  <si>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</si>
  <si>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</si>
  <si>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</si>
  <si>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</si>
  <si>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</si>
  <si>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</si>
  <si>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</si>
  <si>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</si>
  <si>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</si>
  <si>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</si>
  <si>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</si>
  <si>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</si>
  <si>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</si>
  <si>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</si>
  <si>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</si>
  <si>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</si>
  <si>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</si>
  <si>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</si>
  <si>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</si>
  <si>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</si>
  <si>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</si>
  <si>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</si>
  <si>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</si>
  <si>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</si>
  <si>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</si>
  <si>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</si>
  <si>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</si>
  <si>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</si>
  <si>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</si>
  <si>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</si>
  <si>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</si>
  <si>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</si>
  <si>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</si>
  <si>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</si>
  <si>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</si>
  <si>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</si>
  <si>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</si>
  <si>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</si>
  <si>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</si>
  <si>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</si>
  <si>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</si>
  <si>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</si>
  <si>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</si>
  <si>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</si>
  <si>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</si>
  <si>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</si>
  <si>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</si>
  <si>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</si>
  <si>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</si>
  <si>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</si>
  <si>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</si>
  <si>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</si>
  <si>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</si>
  <si>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</si>
  <si>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</si>
  <si>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</si>
  <si>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</si>
  <si>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</si>
  <si>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</si>
  <si>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</si>
  <si>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</si>
  <si>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</si>
  <si>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</si>
  <si>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</si>
  <si>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</si>
  <si>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</si>
  <si>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</si>
  <si>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</si>
  <si>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</si>
  <si>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</si>
  <si>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</si>
  <si>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</si>
  <si>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</si>
  <si>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</si>
  <si>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</si>
  <si>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</si>
  <si>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</si>
  <si>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</si>
  <si>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</si>
  <si>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</si>
  <si>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</si>
  <si>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</si>
  <si>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</si>
  <si>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</si>
  <si>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</si>
  <si>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</si>
  <si>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</si>
  <si>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</si>
  <si>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</si>
  <si>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</si>
  <si>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</si>
  <si>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</si>
  <si>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</si>
  <si>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</si>
  <si>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</si>
  <si>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</si>
  <si>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</si>
  <si>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</si>
  <si>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</si>
  <si>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</si>
  <si>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</si>
  <si>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</si>
  <si>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</si>
  <si>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</si>
  <si>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</si>
  <si>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</si>
  <si>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</si>
  <si>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</si>
  <si>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</si>
  <si>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</si>
  <si>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</si>
  <si>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</si>
  <si>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</si>
  <si>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</si>
  <si>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</si>
  <si>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</si>
  <si>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</si>
  <si>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</si>
  <si>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</si>
  <si>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</si>
  <si>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</si>
  <si>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</si>
  <si>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</si>
  <si>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</si>
  <si>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</si>
  <si>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</si>
  <si>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</si>
  <si>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</si>
  <si>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</si>
  <si>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</si>
  <si>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</si>
  <si>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</si>
  <si>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</si>
  <si>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</si>
  <si>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</si>
  <si>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</si>
  <si>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</si>
  <si>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</si>
  <si>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</si>
  <si>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</si>
  <si>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</si>
  <si>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</si>
  <si>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</si>
  <si>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</si>
  <si>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</si>
  <si>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</si>
  <si>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</si>
  <si>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</si>
  <si>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</si>
  <si>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</si>
  <si>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</si>
  <si>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</si>
  <si>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</si>
  <si>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</si>
  <si>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</si>
  <si>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</si>
  <si>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</si>
  <si>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</si>
  <si>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</si>
  <si>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</si>
  <si>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</si>
  <si>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</si>
  <si>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</si>
  <si>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</si>
  <si>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</si>
  <si>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</si>
  <si>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</si>
  <si>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</si>
  <si>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</si>
  <si>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</si>
  <si>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</si>
  <si>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</si>
  <si>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</si>
  <si>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</si>
  <si>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</si>
  <si>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</si>
  <si>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</si>
  <si>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</si>
  <si>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</si>
  <si>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</si>
  <si>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</si>
  <si>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</si>
  <si>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</si>
  <si>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</si>
  <si>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</si>
  <si>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</si>
  <si>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</si>
  <si>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</si>
  <si>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</si>
  <si>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</si>
  <si>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</si>
  <si>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</si>
  <si>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</si>
  <si>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</si>
  <si>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</si>
  <si>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</si>
  <si>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</si>
  <si>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</si>
  <si>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</si>
  <si>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</si>
  <si>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</si>
  <si>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</si>
  <si>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</si>
  <si>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</si>
  <si>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</si>
  <si>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</si>
  <si>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</si>
  <si>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</si>
  <si>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</si>
  <si>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</si>
  <si>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</si>
  <si>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</si>
  <si>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</si>
  <si>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</si>
  <si>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</si>
  <si>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</si>
  <si>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</si>
  <si>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</si>
  <si>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</si>
  <si>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</si>
  <si>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</si>
  <si>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</si>
  <si>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</si>
  <si>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</si>
  <si>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</si>
  <si>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</si>
  <si>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</si>
  <si>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</si>
  <si>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</si>
  <si>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</si>
  <si>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</si>
  <si>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</si>
  <si>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</si>
  <si>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</si>
  <si>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</si>
  <si>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</si>
  <si>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</si>
  <si>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</si>
  <si>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</si>
  <si>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</si>
  <si>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</si>
  <si>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</si>
  <si>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</si>
  <si>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</si>
  <si>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</si>
  <si>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</si>
  <si>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</si>
  <si>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</si>
  <si>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</si>
  <si>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</si>
  <si>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</si>
  <si>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</si>
  <si>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</si>
  <si>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</si>
  <si>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</si>
  <si>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</si>
  <si>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</si>
  <si>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</si>
  <si>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</si>
  <si>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</si>
  <si>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</si>
  <si>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</si>
  <si>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</si>
  <si>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</si>
  <si>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</si>
  <si>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</si>
  <si>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</si>
  <si>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</si>
  <si>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</si>
  <si>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</si>
  <si>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</si>
  <si>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</si>
  <si>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</si>
  <si>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</si>
  <si>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</si>
  <si>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</si>
  <si>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</si>
  <si>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</si>
  <si>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</si>
  <si>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</si>
  <si>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</si>
  <si>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</si>
  <si>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</si>
  <si>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</si>
  <si>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</si>
  <si>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</si>
  <si>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</si>
  <si>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</si>
  <si>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</si>
  <si>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</si>
  <si>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</si>
  <si>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</si>
  <si>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</si>
  <si>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</si>
  <si>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</si>
  <si>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</si>
  <si>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</si>
  <si>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</si>
  <si>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</si>
  <si>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</si>
  <si>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</si>
  <si>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</si>
  <si>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</si>
  <si>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</si>
  <si>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</si>
  <si>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</si>
  <si>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</si>
  <si>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</si>
  <si>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</si>
  <si>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</si>
  <si>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</si>
  <si>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</si>
  <si>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</si>
  <si>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</si>
  <si>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</si>
  <si>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</si>
  <si>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</si>
  <si>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</si>
  <si>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</si>
  <si>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</si>
  <si>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</si>
  <si>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</si>
  <si>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</si>
  <si>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</si>
  <si>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</si>
  <si>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</si>
  <si>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</si>
  <si>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</si>
  <si>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</si>
  <si>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</si>
  <si>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</si>
  <si>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</si>
  <si>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</si>
  <si>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</si>
  <si>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</si>
  <si>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</si>
  <si>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</si>
  <si>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</si>
  <si>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</si>
  <si>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</si>
  <si>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</si>
  <si>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</si>
  <si>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</si>
  <si>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</si>
  <si>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</si>
  <si>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</si>
  <si>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</si>
  <si>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</si>
  <si>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</si>
  <si>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</si>
  <si>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</si>
  <si>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</si>
  <si>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</si>
  <si>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</si>
  <si>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</si>
  <si>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</si>
  <si>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</si>
  <si>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</si>
  <si>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</si>
  <si>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</si>
  <si>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</si>
  <si>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</si>
  <si>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</si>
  <si>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</si>
  <si>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</si>
  <si>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</si>
  <si>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</si>
  <si>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</si>
  <si>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</si>
  <si>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</si>
  <si>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</si>
  <si>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</si>
  <si>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</si>
  <si>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</si>
  <si>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</si>
  <si>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</si>
  <si>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</si>
  <si>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</si>
  <si>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</si>
  <si>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</si>
  <si>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</si>
  <si>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</si>
  <si>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</si>
  <si>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</si>
  <si>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</si>
  <si>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</si>
  <si>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</si>
  <si>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</si>
  <si>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</si>
  <si>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</si>
  <si>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</si>
  <si>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</si>
  <si>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</si>
  <si>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</si>
  <si>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</si>
  <si>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</si>
  <si>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</si>
  <si>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</si>
  <si>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</si>
  <si>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</si>
  <si>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</si>
  <si>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</si>
  <si>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</si>
  <si>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</si>
  <si>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</si>
  <si>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</si>
  <si>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</si>
  <si>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</si>
  <si>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</si>
  <si>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</si>
  <si>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</si>
  <si>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</si>
  <si>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</si>
  <si>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</si>
  <si>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</si>
  <si>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</si>
  <si>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</si>
  <si>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</si>
  <si>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</si>
  <si>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</si>
  <si>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</si>
  <si>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</si>
  <si>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</si>
  <si>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</si>
  <si>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</si>
  <si>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</si>
  <si>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</si>
  <si>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</si>
  <si>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</si>
  <si>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</si>
  <si>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</si>
  <si>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</si>
  <si>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</si>
  <si>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</si>
  <si>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</si>
  <si>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</si>
  <si>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</si>
  <si>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</si>
  <si>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</si>
  <si>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</si>
  <si>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</si>
  <si>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</si>
  <si>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</si>
  <si>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</si>
  <si>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</si>
  <si>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</si>
  <si>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</si>
  <si>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</si>
  <si>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</si>
  <si>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</si>
  <si>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</si>
  <si>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</si>
  <si>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</si>
  <si>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</si>
  <si>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</si>
  <si>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</si>
  <si>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</si>
  <si>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</si>
  <si>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</si>
  <si>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</si>
  <si>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</si>
  <si>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</si>
  <si>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</si>
  <si>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</si>
  <si>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</si>
  <si>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</si>
  <si>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</si>
  <si>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</si>
  <si>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</si>
  <si>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</si>
  <si>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</si>
  <si>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</si>
  <si>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</si>
  <si>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</si>
  <si>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</si>
  <si>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</si>
  <si>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</si>
  <si>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</si>
  <si>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</si>
  <si>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</si>
  <si>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</si>
  <si>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</si>
  <si>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</si>
  <si>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</si>
  <si>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</si>
  <si>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</si>
  <si>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</si>
  <si>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</si>
  <si>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</si>
  <si>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</si>
  <si>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</si>
  <si>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</si>
  <si>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</si>
  <si>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</si>
  <si>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</si>
  <si>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</si>
  <si>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</si>
  <si>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</si>
  <si>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</si>
  <si>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</si>
  <si>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</si>
  <si>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</si>
  <si>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</si>
  <si>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</si>
  <si>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</si>
  <si>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</si>
  <si>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</si>
  <si>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</si>
  <si>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</si>
  <si>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</si>
  <si>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</si>
  <si>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</si>
  <si>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</si>
  <si>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</si>
  <si>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</si>
  <si>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</si>
  <si>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</si>
  <si>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</si>
  <si>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</si>
  <si>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</si>
  <si>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</si>
  <si>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</si>
  <si>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</si>
  <si>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</si>
  <si>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</si>
  <si>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</si>
  <si>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</si>
  <si>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</si>
  <si>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</si>
  <si>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</si>
  <si>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</si>
  <si>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</si>
  <si>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</si>
  <si>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</si>
  <si>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</si>
  <si>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</si>
  <si>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</si>
  <si>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</si>
  <si>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</si>
  <si>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</si>
  <si>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</si>
  <si>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</si>
  <si>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</si>
  <si>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</si>
  <si>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</si>
  <si>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</si>
  <si>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</si>
  <si>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</si>
  <si>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</si>
  <si>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</si>
  <si>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</si>
  <si>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</si>
  <si>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</si>
  <si>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</si>
  <si>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</si>
  <si>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</si>
  <si>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</si>
  <si>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</si>
  <si>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</si>
  <si>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</si>
  <si>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</si>
  <si>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</si>
  <si>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</si>
  <si>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</si>
  <si>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</si>
  <si>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</si>
  <si>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</si>
  <si>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</si>
  <si>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</si>
  <si>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</si>
  <si>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</si>
  <si>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</si>
  <si>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</si>
  <si>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</si>
  <si>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</si>
  <si>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</si>
  <si>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</si>
  <si>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</si>
  <si>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</si>
  <si>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</si>
  <si>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</si>
  <si>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</si>
  <si>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</si>
  <si>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</si>
  <si>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</si>
  <si>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</si>
  <si>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</si>
  <si>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</si>
  <si>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</si>
  <si>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</si>
  <si>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</si>
  <si>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</si>
  <si>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</si>
  <si>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</si>
  <si>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</si>
  <si>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</si>
  <si>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</si>
  <si>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</si>
  <si>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</si>
  <si>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</si>
  <si>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</si>
  <si>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</si>
  <si>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</si>
  <si>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</si>
  <si>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</si>
  <si>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</si>
  <si>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</si>
  <si>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</si>
  <si>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</si>
  <si>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</si>
  <si>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</si>
  <si>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</si>
  <si>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</si>
  <si>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</si>
  <si>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</si>
  <si>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</si>
  <si>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</si>
  <si>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</si>
  <si>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</si>
  <si>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</si>
  <si>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</si>
  <si>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</si>
  <si>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</si>
  <si>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</si>
  <si>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</si>
  <si>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</si>
  <si>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</si>
  <si>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</si>
  <si>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</si>
  <si>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</si>
  <si>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</si>
  <si>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</si>
  <si>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</si>
  <si>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08/04</t>
  </si>
  <si>
    <t>08/14</t>
  </si>
  <si>
    <t>04/13</t>
  </si>
  <si>
    <t>08/17</t>
  </si>
  <si>
    <t>Fremont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</si>
</sst>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189</v>
      </c>
      <c r="C2" s="21">
        <v>189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1677391.63</v>
      </c>
      <c r="G9" s="18">
        <v>38362.46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11687.2</v>
      </c>
      <c r="G10" s="18"/>
      <c r="H10" s="18"/>
      <c r="I10" s="18"/>
      <c r="J10" s="67">
        <f>SUM(I440)</f>
        <v>35459.379999999997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100871.64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13955.78</v>
      </c>
      <c r="G13" s="18">
        <v>7646.42</v>
      </c>
      <c r="H13" s="18">
        <v>58474.35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1074.29</v>
      </c>
      <c r="G14" s="18">
        <v>560.29999999999995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4377.01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1804980.5399999998</v>
      </c>
      <c r="G19" s="41">
        <f>SUM(G9:G18)</f>
        <v>50946.19</v>
      </c>
      <c r="H19" s="41">
        <f>SUM(H9:H18)</f>
        <v>58474.35</v>
      </c>
      <c r="I19" s="41">
        <f>SUM(I9:I18)</f>
        <v>0</v>
      </c>
      <c r="J19" s="41">
        <f>SUM(J9:J18)</f>
        <v>35459.379999999997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46032.86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54838.78</v>
      </c>
      <c r="I23" s="18"/>
      <c r="J23" s="67">
        <f>SUM(I449)</f>
        <v>5499.99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1119469.3999999999</v>
      </c>
      <c r="G24" s="18">
        <v>443.23</v>
      </c>
      <c r="H24" s="18">
        <v>3255.69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81030.66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292.19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4449.12</v>
      </c>
      <c r="H30" s="18">
        <v>379.88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120030.03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1320822.2799999998</v>
      </c>
      <c r="G32" s="41">
        <f>SUM(G22:G31)</f>
        <v>50925.210000000006</v>
      </c>
      <c r="H32" s="41">
        <f>SUM(H22:H31)</f>
        <v>58474.35</v>
      </c>
      <c r="I32" s="41">
        <f>SUM(I22:I31)</f>
        <v>0</v>
      </c>
      <c r="J32" s="41">
        <f>SUM(J22:J31)</f>
        <v>5499.99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4377.01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-4356.03</v>
      </c>
      <c r="H48" s="18"/>
      <c r="I48" s="18"/>
      <c r="J48" s="13">
        <f>SUM(I459)</f>
        <v>29959.39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374158.26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484158.26</v>
      </c>
      <c r="G51" s="41">
        <f>SUM(G35:G50)</f>
        <v>20.980000000000473</v>
      </c>
      <c r="H51" s="41">
        <f>SUM(H35:H50)</f>
        <v>0</v>
      </c>
      <c r="I51" s="41">
        <f>SUM(I35:I50)</f>
        <v>0</v>
      </c>
      <c r="J51" s="41">
        <f>SUM(J35:J50)</f>
        <v>29959.39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1804980.5399999998</v>
      </c>
      <c r="G52" s="41">
        <f>G51+G32</f>
        <v>50946.19000000001</v>
      </c>
      <c r="H52" s="41">
        <f>H51+H32</f>
        <v>58474.35</v>
      </c>
      <c r="I52" s="41">
        <f>I51+I32</f>
        <v>0</v>
      </c>
      <c r="J52" s="41">
        <f>J51+J32</f>
        <v>35459.379999999997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8183763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8183763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16220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16220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120.68</v>
      </c>
      <c r="G96" s="18"/>
      <c r="H96" s="18"/>
      <c r="I96" s="18"/>
      <c r="J96" s="18">
        <v>3.83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90868.92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1620.12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176360.41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176481.09</v>
      </c>
      <c r="G111" s="41">
        <f>SUM(G96:G110)</f>
        <v>90868.92</v>
      </c>
      <c r="H111" s="41">
        <f>SUM(H96:H110)</f>
        <v>1620.12</v>
      </c>
      <c r="I111" s="41">
        <f>SUM(I96:I110)</f>
        <v>0</v>
      </c>
      <c r="J111" s="41">
        <f>SUM(J96:J110)</f>
        <v>3.83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8376464.0899999999</v>
      </c>
      <c r="G112" s="41">
        <f>G60+G111</f>
        <v>90868.92</v>
      </c>
      <c r="H112" s="41">
        <f>H60+H79+H94+H111</f>
        <v>1620.12</v>
      </c>
      <c r="I112" s="41">
        <f>I60+I111</f>
        <v>0</v>
      </c>
      <c r="J112" s="41">
        <f>J60+J111</f>
        <v>3.83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1712968.25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841615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7527.92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2562111.17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77252.960000000006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39999.57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2001.25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8450.7199999999993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117252.53</v>
      </c>
      <c r="G136" s="41">
        <f>SUM(G123:G135)</f>
        <v>10451.969999999999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2679363.6999999997</v>
      </c>
      <c r="G140" s="41">
        <f>G121+SUM(G136:G137)</f>
        <v>10451.969999999999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24255.919999999998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53455.68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41323.26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94521.29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70125.66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16291.51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70125.66</v>
      </c>
      <c r="G162" s="41">
        <f>SUM(G150:G161)</f>
        <v>41323.26</v>
      </c>
      <c r="H162" s="41">
        <f>SUM(H150:H161)</f>
        <v>188524.40000000002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70125.66</v>
      </c>
      <c r="G169" s="41">
        <f>G147+G162+SUM(G163:G168)</f>
        <v>41323.26</v>
      </c>
      <c r="H169" s="41">
        <f>H147+H162+SUM(H163:H168)</f>
        <v>188524.40000000002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20379.990000000002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20379.990000000002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20379.990000000002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11146333.439999999</v>
      </c>
      <c r="G193" s="47">
        <f>G112+G140+G169+G192</f>
        <v>142644.15</v>
      </c>
      <c r="H193" s="47">
        <f>H112+H140+H169+H192</f>
        <v>190144.52000000002</v>
      </c>
      <c r="I193" s="47">
        <f>I112+I140+I169+I192</f>
        <v>0</v>
      </c>
      <c r="J193" s="47">
        <f>J112+J140+J192</f>
        <v>10003.83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1632424</v>
      </c>
      <c r="G197" s="18">
        <v>840655.97</v>
      </c>
      <c r="H197" s="18">
        <v>0</v>
      </c>
      <c r="I197" s="18">
        <v>54917.69</v>
      </c>
      <c r="J197" s="18">
        <v>62585.03</v>
      </c>
      <c r="K197" s="18">
        <v>569.65</v>
      </c>
      <c r="L197" s="19">
        <f>SUM(F197:K197)</f>
        <v>2591152.3399999994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527842.75</v>
      </c>
      <c r="G198" s="18">
        <v>171087.57</v>
      </c>
      <c r="H198" s="18">
        <v>296780.42</v>
      </c>
      <c r="I198" s="18">
        <v>8682.82</v>
      </c>
      <c r="J198" s="18">
        <v>1831.35</v>
      </c>
      <c r="K198" s="18">
        <v>0</v>
      </c>
      <c r="L198" s="19">
        <f>SUM(F198:K198)</f>
        <v>1006224.9099999999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41131.25</v>
      </c>
      <c r="G200" s="18">
        <v>7414.25</v>
      </c>
      <c r="H200" s="18">
        <v>16692.5</v>
      </c>
      <c r="I200" s="18">
        <v>3996.16</v>
      </c>
      <c r="J200" s="18">
        <v>1899</v>
      </c>
      <c r="K200" s="18">
        <v>97</v>
      </c>
      <c r="L200" s="19">
        <f>SUM(F200:K200)</f>
        <v>71230.16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411467.32</v>
      </c>
      <c r="G202" s="18">
        <v>198375.89</v>
      </c>
      <c r="H202" s="18">
        <v>12968.36</v>
      </c>
      <c r="I202" s="18">
        <v>13915.55</v>
      </c>
      <c r="J202" s="18">
        <v>11535.79</v>
      </c>
      <c r="K202" s="18">
        <v>310</v>
      </c>
      <c r="L202" s="19">
        <f t="shared" ref="L202:L208" si="0">SUM(F202:K202)</f>
        <v>648572.91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94424.61</v>
      </c>
      <c r="G203" s="18">
        <v>75825.16</v>
      </c>
      <c r="H203" s="18">
        <v>1861.97</v>
      </c>
      <c r="I203" s="18">
        <v>13552.42</v>
      </c>
      <c r="J203" s="18">
        <v>91238.32</v>
      </c>
      <c r="K203" s="18">
        <v>0</v>
      </c>
      <c r="L203" s="19">
        <f t="shared" si="0"/>
        <v>276902.48000000004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369256.83</v>
      </c>
      <c r="G204" s="18">
        <v>157263.91</v>
      </c>
      <c r="H204" s="18">
        <v>135271.32</v>
      </c>
      <c r="I204" s="18">
        <v>7515.05</v>
      </c>
      <c r="J204" s="18">
        <v>0</v>
      </c>
      <c r="K204" s="18">
        <v>30953.43</v>
      </c>
      <c r="L204" s="19">
        <f t="shared" si="0"/>
        <v>700260.54000000015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269578.75</v>
      </c>
      <c r="G205" s="18">
        <v>92171.86</v>
      </c>
      <c r="H205" s="18">
        <v>44020.9</v>
      </c>
      <c r="I205" s="18">
        <v>13545.3</v>
      </c>
      <c r="J205" s="18">
        <v>3433.98</v>
      </c>
      <c r="K205" s="18">
        <v>3152.75</v>
      </c>
      <c r="L205" s="19">
        <f t="shared" si="0"/>
        <v>425903.54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123487.54</v>
      </c>
      <c r="G207" s="18">
        <v>62041.49</v>
      </c>
      <c r="H207" s="18">
        <v>224898.24</v>
      </c>
      <c r="I207" s="18">
        <v>133985.25</v>
      </c>
      <c r="J207" s="18">
        <v>18499.099999999999</v>
      </c>
      <c r="K207" s="18"/>
      <c r="L207" s="19">
        <f t="shared" si="0"/>
        <v>562911.62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457160.7</v>
      </c>
      <c r="I208" s="18"/>
      <c r="J208" s="18"/>
      <c r="K208" s="18"/>
      <c r="L208" s="19">
        <f t="shared" si="0"/>
        <v>457160.7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3469613.05</v>
      </c>
      <c r="G211" s="41">
        <f t="shared" si="1"/>
        <v>1604836.1</v>
      </c>
      <c r="H211" s="41">
        <f t="shared" si="1"/>
        <v>1189654.4099999999</v>
      </c>
      <c r="I211" s="41">
        <f t="shared" si="1"/>
        <v>250110.24</v>
      </c>
      <c r="J211" s="41">
        <f t="shared" si="1"/>
        <v>191022.57000000004</v>
      </c>
      <c r="K211" s="41">
        <f t="shared" si="1"/>
        <v>35082.83</v>
      </c>
      <c r="L211" s="41">
        <f t="shared" si="1"/>
        <v>6740319.2000000002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3594661.77</v>
      </c>
      <c r="I233" s="18"/>
      <c r="J233" s="18"/>
      <c r="K233" s="18"/>
      <c r="L233" s="19">
        <f>SUM(F233:K233)</f>
        <v>3594661.77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399754.17</v>
      </c>
      <c r="I234" s="18"/>
      <c r="J234" s="18"/>
      <c r="K234" s="18"/>
      <c r="L234" s="19">
        <f>SUM(F234:K234)</f>
        <v>399754.17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172399</v>
      </c>
      <c r="I244" s="18"/>
      <c r="J244" s="18"/>
      <c r="K244" s="18"/>
      <c r="L244" s="19">
        <f t="shared" si="4"/>
        <v>172399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4166814.94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4166814.94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25000</v>
      </c>
      <c r="I255" s="18"/>
      <c r="J255" s="18"/>
      <c r="K255" s="18"/>
      <c r="L255" s="19">
        <f t="shared" si="6"/>
        <v>25000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25000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25000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3469613.05</v>
      </c>
      <c r="G257" s="41">
        <f t="shared" si="8"/>
        <v>1604836.1</v>
      </c>
      <c r="H257" s="41">
        <f t="shared" si="8"/>
        <v>5381469.3499999996</v>
      </c>
      <c r="I257" s="41">
        <f t="shared" si="8"/>
        <v>250110.24</v>
      </c>
      <c r="J257" s="41">
        <f t="shared" si="8"/>
        <v>191022.57000000004</v>
      </c>
      <c r="K257" s="41">
        <f t="shared" si="8"/>
        <v>35082.83</v>
      </c>
      <c r="L257" s="41">
        <f t="shared" si="8"/>
        <v>10932134.140000001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220000</v>
      </c>
      <c r="L260" s="19">
        <f>SUM(F260:K260)</f>
        <v>220000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5500</v>
      </c>
      <c r="L261" s="19">
        <f>SUM(F261:K261)</f>
        <v>5500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235500</v>
      </c>
      <c r="L270" s="41">
        <f t="shared" si="9"/>
        <v>235500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3469613.05</v>
      </c>
      <c r="G271" s="42">
        <f t="shared" si="11"/>
        <v>1604836.1</v>
      </c>
      <c r="H271" s="42">
        <f t="shared" si="11"/>
        <v>5381469.3499999996</v>
      </c>
      <c r="I271" s="42">
        <f t="shared" si="11"/>
        <v>250110.24</v>
      </c>
      <c r="J271" s="42">
        <f t="shared" si="11"/>
        <v>191022.57000000004</v>
      </c>
      <c r="K271" s="42">
        <f t="shared" si="11"/>
        <v>270582.83</v>
      </c>
      <c r="L271" s="42">
        <f t="shared" si="11"/>
        <v>11167634.140000001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25430.28</v>
      </c>
      <c r="G276" s="18">
        <v>7167.84</v>
      </c>
      <c r="H276" s="18">
        <v>840</v>
      </c>
      <c r="I276" s="18">
        <v>2182.6799999999998</v>
      </c>
      <c r="J276" s="18"/>
      <c r="K276" s="18"/>
      <c r="L276" s="19">
        <f>SUM(F276:K276)</f>
        <v>35620.799999999996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37596.519999999997</v>
      </c>
      <c r="G277" s="18">
        <v>6851.88</v>
      </c>
      <c r="H277" s="18">
        <v>22574.95</v>
      </c>
      <c r="I277" s="18">
        <v>2293.91</v>
      </c>
      <c r="J277" s="18">
        <v>1855.2</v>
      </c>
      <c r="K277" s="18"/>
      <c r="L277" s="19">
        <f>SUM(F277:K277)</f>
        <v>71172.459999999992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3000</v>
      </c>
      <c r="G279" s="18">
        <v>654.32000000000005</v>
      </c>
      <c r="H279" s="18"/>
      <c r="I279" s="18"/>
      <c r="J279" s="18"/>
      <c r="K279" s="18"/>
      <c r="L279" s="19">
        <f>SUM(F279:K279)</f>
        <v>3654.32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>
        <v>582.57000000000005</v>
      </c>
      <c r="H281" s="18">
        <v>22626.83</v>
      </c>
      <c r="I281" s="18"/>
      <c r="J281" s="18"/>
      <c r="K281" s="18"/>
      <c r="L281" s="19">
        <f t="shared" ref="L281:L287" si="12">SUM(F281:K281)</f>
        <v>23209.4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7615</v>
      </c>
      <c r="G282" s="18"/>
      <c r="H282" s="18">
        <v>42706.22</v>
      </c>
      <c r="I282" s="18">
        <v>142.72</v>
      </c>
      <c r="J282" s="18">
        <v>2700</v>
      </c>
      <c r="K282" s="18"/>
      <c r="L282" s="19">
        <f t="shared" si="12"/>
        <v>53163.94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2601.6</v>
      </c>
      <c r="I283" s="18"/>
      <c r="J283" s="18"/>
      <c r="K283" s="18"/>
      <c r="L283" s="19">
        <f t="shared" si="12"/>
        <v>2601.6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722</v>
      </c>
      <c r="I287" s="18"/>
      <c r="J287" s="18"/>
      <c r="K287" s="18"/>
      <c r="L287" s="19">
        <f t="shared" si="12"/>
        <v>722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73641.799999999988</v>
      </c>
      <c r="G290" s="42">
        <f t="shared" si="13"/>
        <v>15256.61</v>
      </c>
      <c r="H290" s="42">
        <f t="shared" si="13"/>
        <v>92071.6</v>
      </c>
      <c r="I290" s="42">
        <f t="shared" si="13"/>
        <v>4619.3100000000004</v>
      </c>
      <c r="J290" s="42">
        <f t="shared" si="13"/>
        <v>4555.2</v>
      </c>
      <c r="K290" s="42">
        <f t="shared" si="13"/>
        <v>0</v>
      </c>
      <c r="L290" s="41">
        <f t="shared" si="13"/>
        <v>190144.52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73641.799999999988</v>
      </c>
      <c r="G338" s="41">
        <f t="shared" si="20"/>
        <v>15256.61</v>
      </c>
      <c r="H338" s="41">
        <f t="shared" si="20"/>
        <v>92071.6</v>
      </c>
      <c r="I338" s="41">
        <f t="shared" si="20"/>
        <v>4619.3100000000004</v>
      </c>
      <c r="J338" s="41">
        <f t="shared" si="20"/>
        <v>4555.2</v>
      </c>
      <c r="K338" s="41">
        <f t="shared" si="20"/>
        <v>0</v>
      </c>
      <c r="L338" s="41">
        <f t="shared" si="20"/>
        <v>190144.52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73641.799999999988</v>
      </c>
      <c r="G352" s="41">
        <f>G338</f>
        <v>15256.61</v>
      </c>
      <c r="H352" s="41">
        <f>H338</f>
        <v>92071.6</v>
      </c>
      <c r="I352" s="41">
        <f>I338</f>
        <v>4619.3100000000004</v>
      </c>
      <c r="J352" s="41">
        <f>J338</f>
        <v>4555.2</v>
      </c>
      <c r="K352" s="47">
        <f>K338+K351</f>
        <v>0</v>
      </c>
      <c r="L352" s="41">
        <f>L338+L351</f>
        <v>190144.52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136875</v>
      </c>
      <c r="I358" s="18">
        <v>11642.94</v>
      </c>
      <c r="J358" s="18"/>
      <c r="K358" s="18"/>
      <c r="L358" s="13">
        <f>SUM(F358:K358)</f>
        <v>148517.94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136875</v>
      </c>
      <c r="I362" s="47">
        <f t="shared" si="22"/>
        <v>11642.94</v>
      </c>
      <c r="J362" s="47">
        <f t="shared" si="22"/>
        <v>0</v>
      </c>
      <c r="K362" s="47">
        <f t="shared" si="22"/>
        <v>0</v>
      </c>
      <c r="L362" s="47">
        <f t="shared" si="22"/>
        <v>148517.94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8450.7199999999993</v>
      </c>
      <c r="G367" s="18"/>
      <c r="H367" s="18"/>
      <c r="I367" s="56">
        <f>SUM(F367:H367)</f>
        <v>8450.7199999999993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3192.22</v>
      </c>
      <c r="G368" s="63"/>
      <c r="H368" s="63"/>
      <c r="I368" s="56">
        <f>SUM(F368:H368)</f>
        <v>3192.22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11642.939999999999</v>
      </c>
      <c r="G369" s="47">
        <f>SUM(G367:G368)</f>
        <v>0</v>
      </c>
      <c r="H369" s="47">
        <f>SUM(H367:H368)</f>
        <v>0</v>
      </c>
      <c r="I369" s="47">
        <f>SUM(I367:I368)</f>
        <v>11642.939999999999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v>3.83</v>
      </c>
      <c r="I396" s="18"/>
      <c r="J396" s="24" t="s">
        <v>289</v>
      </c>
      <c r="K396" s="24" t="s">
        <v>289</v>
      </c>
      <c r="L396" s="56">
        <f t="shared" si="26"/>
        <v>10003.83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3.83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10003.83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3.83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10003.83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20379.990000000002</v>
      </c>
      <c r="L422" s="56">
        <f t="shared" si="29"/>
        <v>20379.990000000002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20379.990000000002</v>
      </c>
      <c r="L427" s="47">
        <f t="shared" si="30"/>
        <v>20379.990000000002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20379.990000000002</v>
      </c>
      <c r="L434" s="47">
        <f t="shared" si="32"/>
        <v>20379.990000000002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23058.14</v>
      </c>
      <c r="H440" s="18">
        <v>12401.24</v>
      </c>
      <c r="I440" s="56">
        <f t="shared" si="33"/>
        <v>35459.379999999997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23058.14</v>
      </c>
      <c r="H446" s="13">
        <f>SUM(H439:H445)</f>
        <v>12401.24</v>
      </c>
      <c r="I446" s="13">
        <f>SUM(I439:I445)</f>
        <v>35459.379999999997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3500</v>
      </c>
      <c r="H449" s="18">
        <v>1999.99</v>
      </c>
      <c r="I449" s="56">
        <f>SUM(F449:H449)</f>
        <v>5499.99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3500</v>
      </c>
      <c r="H452" s="72">
        <f>SUM(H448:H451)</f>
        <v>1999.99</v>
      </c>
      <c r="I452" s="72">
        <f>SUM(I448:I451)</f>
        <v>5499.99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19558.14</v>
      </c>
      <c r="H459" s="18">
        <v>10401.25</v>
      </c>
      <c r="I459" s="56">
        <f t="shared" si="34"/>
        <v>29959.39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19558.14</v>
      </c>
      <c r="H460" s="83">
        <f>SUM(H454:H459)</f>
        <v>10401.25</v>
      </c>
      <c r="I460" s="83">
        <f>SUM(I454:I459)</f>
        <v>29959.39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23058.14</v>
      </c>
      <c r="H461" s="42">
        <f>H452+H460</f>
        <v>12401.24</v>
      </c>
      <c r="I461" s="42">
        <f>I452+I460</f>
        <v>35459.379999999997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505458.96</v>
      </c>
      <c r="G465" s="18">
        <v>5894.77</v>
      </c>
      <c r="H465" s="18">
        <v>0</v>
      </c>
      <c r="I465" s="18"/>
      <c r="J465" s="18">
        <v>40335.550000000003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11146333.439999999</v>
      </c>
      <c r="G468" s="18">
        <v>142644.15</v>
      </c>
      <c r="H468" s="18">
        <v>190144.52</v>
      </c>
      <c r="I468" s="18"/>
      <c r="J468" s="18">
        <v>10003.83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 t="s">
        <v>287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11146333.439999999</v>
      </c>
      <c r="G470" s="53">
        <f>SUM(G468:G469)</f>
        <v>142644.15</v>
      </c>
      <c r="H470" s="53">
        <f>SUM(H468:H469)</f>
        <v>190144.52</v>
      </c>
      <c r="I470" s="53">
        <f>SUM(I468:I469)</f>
        <v>0</v>
      </c>
      <c r="J470" s="53">
        <f>SUM(J468:J469)</f>
        <v>10003.83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11167634.140000001</v>
      </c>
      <c r="G472" s="18">
        <v>148517.94</v>
      </c>
      <c r="H472" s="18">
        <v>190144.52</v>
      </c>
      <c r="I472" s="18"/>
      <c r="J472" s="18">
        <v>20379.990000000002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11167634.140000001</v>
      </c>
      <c r="G474" s="53">
        <f>SUM(G472:G473)</f>
        <v>148517.94</v>
      </c>
      <c r="H474" s="53">
        <f>SUM(H472:H473)</f>
        <v>190144.52</v>
      </c>
      <c r="I474" s="53">
        <f>SUM(I472:I473)</f>
        <v>0</v>
      </c>
      <c r="J474" s="53">
        <f>SUM(J472:J473)</f>
        <v>20379.990000000002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484158.25999999978</v>
      </c>
      <c r="G476" s="53">
        <f>(G465+G470)- G474</f>
        <v>20.979999999981374</v>
      </c>
      <c r="H476" s="53">
        <f>(H465+H470)- H474</f>
        <v>0</v>
      </c>
      <c r="I476" s="53">
        <f>(I465+I470)- I474</f>
        <v>0</v>
      </c>
      <c r="J476" s="53">
        <f>(J465+J470)- J474</f>
        <v>29959.390000000003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2239800</v>
      </c>
      <c r="G493" s="18">
        <v>67291.399999999994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3.63</v>
      </c>
      <c r="G494" s="18">
        <v>2.68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220000</v>
      </c>
      <c r="G495" s="18">
        <v>53587.77</v>
      </c>
      <c r="H495" s="18"/>
      <c r="I495" s="18"/>
      <c r="J495" s="18"/>
      <c r="K495" s="53">
        <f>SUM(F495:J495)</f>
        <v>273587.77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220000</v>
      </c>
      <c r="G497" s="18">
        <v>12870.26</v>
      </c>
      <c r="H497" s="18"/>
      <c r="I497" s="18"/>
      <c r="J497" s="18"/>
      <c r="K497" s="53">
        <f t="shared" si="35"/>
        <v>232870.26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40717.51</v>
      </c>
      <c r="H498" s="204"/>
      <c r="I498" s="204"/>
      <c r="J498" s="204"/>
      <c r="K498" s="205">
        <f t="shared" si="35"/>
        <v>40717.51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40717.51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40717.51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527842.75+37596.52</f>
        <v>565439.27</v>
      </c>
      <c r="G521" s="18">
        <f>6851.88+171087.57</f>
        <v>177939.45</v>
      </c>
      <c r="H521" s="18">
        <f>296780.42+22574.95</f>
        <v>319355.37</v>
      </c>
      <c r="I521" s="18">
        <f>8682.82+2293.91</f>
        <v>10976.73</v>
      </c>
      <c r="J521" s="18">
        <f>1855.2+1831.35</f>
        <v>3686.55</v>
      </c>
      <c r="K521" s="18"/>
      <c r="L521" s="88">
        <f>SUM(F521:K521)</f>
        <v>1077397.3699999999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399754.17</v>
      </c>
      <c r="I523" s="18"/>
      <c r="J523" s="18"/>
      <c r="K523" s="18"/>
      <c r="L523" s="88">
        <f>SUM(F523:K523)</f>
        <v>399754.17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565439.27</v>
      </c>
      <c r="G524" s="108">
        <f t="shared" ref="G524:L524" si="36">SUM(G521:G523)</f>
        <v>177939.45</v>
      </c>
      <c r="H524" s="108">
        <f t="shared" si="36"/>
        <v>719109.54</v>
      </c>
      <c r="I524" s="108">
        <f t="shared" si="36"/>
        <v>10976.73</v>
      </c>
      <c r="J524" s="108">
        <f t="shared" si="36"/>
        <v>3686.55</v>
      </c>
      <c r="K524" s="108">
        <f t="shared" si="36"/>
        <v>0</v>
      </c>
      <c r="L524" s="89">
        <f t="shared" si="36"/>
        <v>1477151.5399999998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260550.62</v>
      </c>
      <c r="G526" s="18">
        <v>113636.42</v>
      </c>
      <c r="H526" s="18">
        <f>22626.83+11894.99</f>
        <v>34521.82</v>
      </c>
      <c r="I526" s="18">
        <v>6869.53</v>
      </c>
      <c r="J526" s="18">
        <v>3769.79</v>
      </c>
      <c r="K526" s="18"/>
      <c r="L526" s="88">
        <f>SUM(F526:K526)</f>
        <v>419348.18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260550.62</v>
      </c>
      <c r="G529" s="89">
        <f t="shared" ref="G529:L529" si="37">SUM(G526:G528)</f>
        <v>113636.42</v>
      </c>
      <c r="H529" s="89">
        <f t="shared" si="37"/>
        <v>34521.82</v>
      </c>
      <c r="I529" s="89">
        <f t="shared" si="37"/>
        <v>6869.53</v>
      </c>
      <c r="J529" s="89">
        <f t="shared" si="37"/>
        <v>3769.79</v>
      </c>
      <c r="K529" s="89">
        <f t="shared" si="37"/>
        <v>0</v>
      </c>
      <c r="L529" s="89">
        <f t="shared" si="37"/>
        <v>419348.18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153011.26999999999</v>
      </c>
      <c r="G531" s="18">
        <v>59766.75</v>
      </c>
      <c r="H531" s="18">
        <v>9114.7900000000009</v>
      </c>
      <c r="I531" s="18">
        <v>453.87</v>
      </c>
      <c r="J531" s="18"/>
      <c r="K531" s="18">
        <v>6981.32</v>
      </c>
      <c r="L531" s="88">
        <f>SUM(F531:K531)</f>
        <v>229328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153011.26999999999</v>
      </c>
      <c r="G534" s="89">
        <f t="shared" ref="G534:L534" si="38">SUM(G531:G533)</f>
        <v>59766.75</v>
      </c>
      <c r="H534" s="89">
        <f t="shared" si="38"/>
        <v>9114.7900000000009</v>
      </c>
      <c r="I534" s="89">
        <f t="shared" si="38"/>
        <v>453.87</v>
      </c>
      <c r="J534" s="89">
        <f t="shared" si="38"/>
        <v>0</v>
      </c>
      <c r="K534" s="89">
        <f t="shared" si="38"/>
        <v>6981.32</v>
      </c>
      <c r="L534" s="89">
        <f t="shared" si="38"/>
        <v>229328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9801.9599999999991</v>
      </c>
      <c r="G536" s="18"/>
      <c r="H536" s="18"/>
      <c r="I536" s="18"/>
      <c r="J536" s="18"/>
      <c r="K536" s="18"/>
      <c r="L536" s="88">
        <f>SUM(F536:K536)</f>
        <v>9801.9599999999991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9801.9599999999991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9801.9599999999991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125965.14+722</f>
        <v>126687.14</v>
      </c>
      <c r="I541" s="18"/>
      <c r="J541" s="18"/>
      <c r="K541" s="18"/>
      <c r="L541" s="88">
        <f>SUM(F541:K541)</f>
        <v>126687.14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66919</v>
      </c>
      <c r="I543" s="18"/>
      <c r="J543" s="18"/>
      <c r="K543" s="18"/>
      <c r="L543" s="88">
        <f>SUM(F543:K543)</f>
        <v>66919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193606.14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193606.14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988803.12</v>
      </c>
      <c r="G545" s="89">
        <f t="shared" ref="G545:L545" si="41">G524+G529+G534+G539+G544</f>
        <v>351342.62</v>
      </c>
      <c r="H545" s="89">
        <f t="shared" si="41"/>
        <v>956352.29</v>
      </c>
      <c r="I545" s="89">
        <f t="shared" si="41"/>
        <v>18300.129999999997</v>
      </c>
      <c r="J545" s="89">
        <f t="shared" si="41"/>
        <v>7456.34</v>
      </c>
      <c r="K545" s="89">
        <f t="shared" si="41"/>
        <v>6981.32</v>
      </c>
      <c r="L545" s="89">
        <f t="shared" si="41"/>
        <v>2329235.8199999998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1077397.3699999999</v>
      </c>
      <c r="G549" s="87">
        <f>L526</f>
        <v>419348.18</v>
      </c>
      <c r="H549" s="87">
        <f>L531</f>
        <v>229328</v>
      </c>
      <c r="I549" s="87">
        <f>L536</f>
        <v>9801.9599999999991</v>
      </c>
      <c r="J549" s="87">
        <f>L541</f>
        <v>126687.14</v>
      </c>
      <c r="K549" s="87">
        <f>SUM(F549:J549)</f>
        <v>1862562.6499999997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399754.17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66919</v>
      </c>
      <c r="K551" s="87">
        <f>SUM(F551:J551)</f>
        <v>466673.17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1477151.5399999998</v>
      </c>
      <c r="G552" s="89">
        <f t="shared" si="42"/>
        <v>419348.18</v>
      </c>
      <c r="H552" s="89">
        <f t="shared" si="42"/>
        <v>229328</v>
      </c>
      <c r="I552" s="89">
        <f t="shared" si="42"/>
        <v>9801.9599999999991</v>
      </c>
      <c r="J552" s="89">
        <f t="shared" si="42"/>
        <v>193606.14</v>
      </c>
      <c r="K552" s="89">
        <f t="shared" si="42"/>
        <v>2329235.8199999998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3561255.62+4500</f>
        <v>3565755.62</v>
      </c>
      <c r="I575" s="87">
        <f>SUM(F575:H575)</f>
        <v>3565755.62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28906.15</v>
      </c>
      <c r="I578" s="87">
        <f t="shared" si="47"/>
        <v>28906.15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264597.17</v>
      </c>
      <c r="I579" s="87">
        <f t="shared" si="47"/>
        <v>264597.17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49861.5</v>
      </c>
      <c r="G580" s="18"/>
      <c r="H580" s="18"/>
      <c r="I580" s="87">
        <f t="shared" si="47"/>
        <v>49861.5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213208.15</v>
      </c>
      <c r="G582" s="18"/>
      <c r="H582" s="18">
        <v>122801</v>
      </c>
      <c r="I582" s="87">
        <f t="shared" si="47"/>
        <v>336009.15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316440</v>
      </c>
      <c r="I591" s="18"/>
      <c r="J591" s="18">
        <v>105480</v>
      </c>
      <c r="K591" s="104">
        <f t="shared" ref="K591:K597" si="48">SUM(H591:J591)</f>
        <v>421920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125965.14</v>
      </c>
      <c r="I592" s="18"/>
      <c r="J592" s="18">
        <v>66919</v>
      </c>
      <c r="K592" s="104">
        <f t="shared" si="48"/>
        <v>192884.14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4296.5</v>
      </c>
      <c r="I594" s="18"/>
      <c r="J594" s="18"/>
      <c r="K594" s="104">
        <f t="shared" si="48"/>
        <v>4296.5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6981.8</v>
      </c>
      <c r="I595" s="18"/>
      <c r="J595" s="18"/>
      <c r="K595" s="104">
        <f t="shared" si="48"/>
        <v>6981.8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3477.26</v>
      </c>
      <c r="I597" s="18"/>
      <c r="J597" s="18"/>
      <c r="K597" s="104">
        <f t="shared" si="48"/>
        <v>3477.26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457160.7</v>
      </c>
      <c r="I598" s="108">
        <f>SUM(I591:I597)</f>
        <v>0</v>
      </c>
      <c r="J598" s="108">
        <f>SUM(J591:J597)</f>
        <v>172399</v>
      </c>
      <c r="K598" s="108">
        <f>SUM(K591:K597)</f>
        <v>629559.70000000007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195577.77</v>
      </c>
      <c r="I604" s="18"/>
      <c r="J604" s="18"/>
      <c r="K604" s="104">
        <f>SUM(H604:J604)</f>
        <v>195577.77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195577.77</v>
      </c>
      <c r="I605" s="108">
        <f>SUM(I602:I604)</f>
        <v>0</v>
      </c>
      <c r="J605" s="108">
        <f>SUM(J602:J604)</f>
        <v>0</v>
      </c>
      <c r="K605" s="108">
        <f>SUM(K602:K604)</f>
        <v>195577.77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1804980.5399999998</v>
      </c>
      <c r="H617" s="109">
        <f>SUM(F52)</f>
        <v>1804980.5399999998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50946.19</v>
      </c>
      <c r="H618" s="109">
        <f>SUM(G52)</f>
        <v>50946.19000000001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58474.35</v>
      </c>
      <c r="H619" s="109">
        <f>SUM(H52)</f>
        <v>58474.35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35459.379999999997</v>
      </c>
      <c r="H621" s="109">
        <f>SUM(J52)</f>
        <v>35459.379999999997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484158.26</v>
      </c>
      <c r="H622" s="109">
        <f>F476</f>
        <v>484158.25999999978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20.980000000000473</v>
      </c>
      <c r="H623" s="109">
        <f>G476</f>
        <v>20.979999999981374</v>
      </c>
      <c r="I623" s="121" t="s">
        <v>102</v>
      </c>
      <c r="J623" s="109">
        <f t="shared" si="50"/>
        <v>1.9099388737231493E-11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29959.39</v>
      </c>
      <c r="H626" s="109">
        <f>J476</f>
        <v>29959.390000000003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11146333.439999999</v>
      </c>
      <c r="H627" s="104">
        <f>SUM(F468)</f>
        <v>11146333.439999999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142644.15</v>
      </c>
      <c r="H628" s="104">
        <f>SUM(G468)</f>
        <v>142644.15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190144.52000000002</v>
      </c>
      <c r="H629" s="104">
        <f>SUM(H468)</f>
        <v>190144.52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10003.83</v>
      </c>
      <c r="H631" s="104">
        <f>SUM(J468)</f>
        <v>10003.83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11167634.140000001</v>
      </c>
      <c r="H632" s="104">
        <f>SUM(F472)</f>
        <v>11167634.140000001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190144.52</v>
      </c>
      <c r="H633" s="104">
        <f>SUM(H472)</f>
        <v>190144.52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11642.94</v>
      </c>
      <c r="H634" s="104">
        <f>I369</f>
        <v>11642.939999999999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148517.94</v>
      </c>
      <c r="H635" s="104">
        <f>SUM(G472)</f>
        <v>148517.94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10003.83</v>
      </c>
      <c r="H637" s="164">
        <f>SUM(J468)</f>
        <v>10003.83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20379.990000000002</v>
      </c>
      <c r="H638" s="164">
        <f>SUM(J472)</f>
        <v>20379.990000000002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23058.14</v>
      </c>
      <c r="H640" s="104">
        <f>SUM(G461)</f>
        <v>23058.14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12401.24</v>
      </c>
      <c r="H641" s="104">
        <f>SUM(H461)</f>
        <v>12401.24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35459.379999999997</v>
      </c>
      <c r="H642" s="104">
        <f>SUM(I461)</f>
        <v>35459.379999999997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3.83</v>
      </c>
      <c r="H644" s="104">
        <f>H408</f>
        <v>3.83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10003.83</v>
      </c>
      <c r="H646" s="104">
        <f>L408</f>
        <v>10003.83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629559.70000000007</v>
      </c>
      <c r="H647" s="104">
        <f>L208+L226+L244</f>
        <v>629559.69999999995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195577.77</v>
      </c>
      <c r="H648" s="104">
        <f>(J257+J338)-(J255+J336)</f>
        <v>195577.77000000005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457160.7</v>
      </c>
      <c r="H649" s="104">
        <f>H598</f>
        <v>457160.7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172399</v>
      </c>
      <c r="H651" s="104">
        <f>J598</f>
        <v>172399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7078981.6600000001</v>
      </c>
      <c r="G660" s="19">
        <f>(L229+L309+L359)</f>
        <v>0</v>
      </c>
      <c r="H660" s="19">
        <f>(L247+L328+L360)</f>
        <v>4166814.94</v>
      </c>
      <c r="I660" s="19">
        <f>SUM(F660:H660)</f>
        <v>11245796.6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90868.92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90868.92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457882.7</v>
      </c>
      <c r="G662" s="19">
        <f>(L226+L306)-(J226+J306)</f>
        <v>0</v>
      </c>
      <c r="H662" s="19">
        <f>(L244+L325)-(J244+J325)</f>
        <v>172399</v>
      </c>
      <c r="I662" s="19">
        <f>SUM(F662:H662)</f>
        <v>630281.69999999995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458647.42000000004</v>
      </c>
      <c r="G663" s="199">
        <f>SUM(G575:G587)+SUM(I602:I604)+L612</f>
        <v>0</v>
      </c>
      <c r="H663" s="199">
        <f>SUM(H575:H587)+SUM(J602:J604)+L613</f>
        <v>3982059.94</v>
      </c>
      <c r="I663" s="19">
        <f>SUM(F663:H663)</f>
        <v>4440707.3600000003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6071582.6200000001</v>
      </c>
      <c r="G664" s="19">
        <f>G660-SUM(G661:G663)</f>
        <v>0</v>
      </c>
      <c r="H664" s="19">
        <f>H660-SUM(H661:H663)</f>
        <v>12356</v>
      </c>
      <c r="I664" s="19">
        <f>I660-SUM(I661:I663)</f>
        <v>6083938.6199999992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419.03</v>
      </c>
      <c r="G665" s="248"/>
      <c r="H665" s="248"/>
      <c r="I665" s="19">
        <f>SUM(F665:H665)</f>
        <v>419.03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14489.61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14519.1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-12356</v>
      </c>
      <c r="I669" s="19">
        <f>SUM(F669:H669)</f>
        <v>-12356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14489.61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14489.61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4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2" workbookViewId="0">
      <selection activeCell="C36" sqref="C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Fremont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1657854.28</v>
      </c>
      <c r="C9" s="229">
        <f>'DOE25'!G197+'DOE25'!G215+'DOE25'!G233+'DOE25'!G276+'DOE25'!G295+'DOE25'!G314</f>
        <v>847823.80999999994</v>
      </c>
    </row>
    <row r="10" spans="1:3" x14ac:dyDescent="0.2">
      <c r="A10" t="s">
        <v>779</v>
      </c>
      <c r="B10" s="240">
        <f>1521538+17815+1500+800+2543.75</f>
        <v>1544196.75</v>
      </c>
      <c r="C10" s="240">
        <f>840655.97+114.75+212.4+346.05-7119.93+194.59</f>
        <v>834403.83</v>
      </c>
    </row>
    <row r="11" spans="1:3" x14ac:dyDescent="0.2">
      <c r="A11" t="s">
        <v>780</v>
      </c>
      <c r="B11" s="240">
        <f>18116.53+2470</f>
        <v>20586.53</v>
      </c>
      <c r="C11" s="240">
        <f>4455.22+357.57+1298.3+188.96</f>
        <v>6300.05</v>
      </c>
    </row>
    <row r="12" spans="1:3" x14ac:dyDescent="0.2">
      <c r="A12" t="s">
        <v>781</v>
      </c>
      <c r="B12" s="240">
        <f>73681+7995+11395</f>
        <v>93071</v>
      </c>
      <c r="C12" s="240">
        <v>7119.93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1657854.28</v>
      </c>
      <c r="C13" s="231">
        <f>SUM(C10:C12)</f>
        <v>847823.81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565439.27</v>
      </c>
      <c r="C18" s="229">
        <f>'DOE25'!G198+'DOE25'!G216+'DOE25'!G234+'DOE25'!G277+'DOE25'!G296+'DOE25'!G315</f>
        <v>177939.45</v>
      </c>
    </row>
    <row r="19" spans="1:3" x14ac:dyDescent="0.2">
      <c r="A19" t="s">
        <v>779</v>
      </c>
      <c r="B19" s="240">
        <f>206823.18+46793+1085.29+13050+19820</f>
        <v>287571.46999999997</v>
      </c>
      <c r="C19" s="240">
        <f>2798.99+28616.53+1907.04+321.65+20008.43+973+1229.4+40682.45</f>
        <v>96537.489999999991</v>
      </c>
    </row>
    <row r="20" spans="1:3" x14ac:dyDescent="0.2">
      <c r="A20" t="s">
        <v>780</v>
      </c>
      <c r="B20" s="240">
        <f>37596.52+238398.97+1272.31</f>
        <v>277267.8</v>
      </c>
      <c r="C20" s="240">
        <f>700+476.76+2876.13+50567.43+4489.79+19177.9+1456.36+1611.69</f>
        <v>81356.060000000012</v>
      </c>
    </row>
    <row r="21" spans="1:3" x14ac:dyDescent="0.2">
      <c r="A21" t="s">
        <v>781</v>
      </c>
      <c r="B21" s="240">
        <v>600</v>
      </c>
      <c r="C21" s="240">
        <v>45.9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565439.27</v>
      </c>
      <c r="C22" s="231">
        <f>SUM(C19:C21)</f>
        <v>177939.44999999998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44131.25</v>
      </c>
      <c r="C36" s="235">
        <f>'DOE25'!G200+'DOE25'!G218+'DOE25'!G236+'DOE25'!G279+'DOE25'!G298+'DOE25'!G317</f>
        <v>8068.57</v>
      </c>
    </row>
    <row r="37" spans="1:3" x14ac:dyDescent="0.2">
      <c r="A37" t="s">
        <v>779</v>
      </c>
      <c r="B37" s="240">
        <f>16000+9025+3000+2581.25+3000</f>
        <v>33606.25</v>
      </c>
      <c r="C37" s="240">
        <f>4152.36+229.52+424.8+2713.16</f>
        <v>7519.84</v>
      </c>
    </row>
    <row r="38" spans="1:3" x14ac:dyDescent="0.2">
      <c r="A38" t="s">
        <v>780</v>
      </c>
      <c r="B38" s="240">
        <f>3200+1650</f>
        <v>4850</v>
      </c>
      <c r="C38" s="240">
        <v>371.02</v>
      </c>
    </row>
    <row r="39" spans="1:3" x14ac:dyDescent="0.2">
      <c r="A39" t="s">
        <v>781</v>
      </c>
      <c r="B39" s="240">
        <f>5625+50</f>
        <v>5675</v>
      </c>
      <c r="C39" s="240">
        <v>177.71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44131.25</v>
      </c>
      <c r="C40" s="231">
        <f>SUM(C37:C39)</f>
        <v>8068.5700000000006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Fremont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7663023.3499999996</v>
      </c>
      <c r="D5" s="20">
        <f>SUM('DOE25'!L197:L200)+SUM('DOE25'!L215:L218)+SUM('DOE25'!L233:L236)-F5-G5</f>
        <v>7596041.3199999994</v>
      </c>
      <c r="E5" s="243"/>
      <c r="F5" s="255">
        <f>SUM('DOE25'!J197:J200)+SUM('DOE25'!J215:J218)+SUM('DOE25'!J233:J236)</f>
        <v>66315.38</v>
      </c>
      <c r="G5" s="53">
        <f>SUM('DOE25'!K197:K200)+SUM('DOE25'!K215:K218)+SUM('DOE25'!K233:K236)</f>
        <v>666.65</v>
      </c>
      <c r="H5" s="259"/>
    </row>
    <row r="6" spans="1:9" x14ac:dyDescent="0.2">
      <c r="A6" s="32">
        <v>2100</v>
      </c>
      <c r="B6" t="s">
        <v>801</v>
      </c>
      <c r="C6" s="245">
        <f t="shared" si="0"/>
        <v>648572.91</v>
      </c>
      <c r="D6" s="20">
        <f>'DOE25'!L202+'DOE25'!L220+'DOE25'!L238-F6-G6</f>
        <v>636727.12</v>
      </c>
      <c r="E6" s="243"/>
      <c r="F6" s="255">
        <f>'DOE25'!J202+'DOE25'!J220+'DOE25'!J238</f>
        <v>11535.79</v>
      </c>
      <c r="G6" s="53">
        <f>'DOE25'!K202+'DOE25'!K220+'DOE25'!K238</f>
        <v>310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276902.48000000004</v>
      </c>
      <c r="D7" s="20">
        <f>'DOE25'!L203+'DOE25'!L221+'DOE25'!L239-F7-G7</f>
        <v>185664.16000000003</v>
      </c>
      <c r="E7" s="243"/>
      <c r="F7" s="255">
        <f>'DOE25'!J203+'DOE25'!J221+'DOE25'!J239</f>
        <v>91238.32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381893.84</v>
      </c>
      <c r="D8" s="243"/>
      <c r="E8" s="20">
        <f>'DOE25'!L204+'DOE25'!L222+'DOE25'!L240-F8-G8-D9-D11</f>
        <v>350940.41000000003</v>
      </c>
      <c r="F8" s="255">
        <f>'DOE25'!J204+'DOE25'!J222+'DOE25'!J240</f>
        <v>0</v>
      </c>
      <c r="G8" s="53">
        <f>'DOE25'!K204+'DOE25'!K222+'DOE25'!K240</f>
        <v>30953.43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126137.17</v>
      </c>
      <c r="D9" s="244">
        <v>126137.17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11100</v>
      </c>
      <c r="D10" s="243"/>
      <c r="E10" s="244">
        <v>11100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192229.53</v>
      </c>
      <c r="D11" s="244">
        <v>192229.53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425903.54</v>
      </c>
      <c r="D12" s="20">
        <f>'DOE25'!L205+'DOE25'!L223+'DOE25'!L241-F12-G12</f>
        <v>419316.81</v>
      </c>
      <c r="E12" s="243"/>
      <c r="F12" s="255">
        <f>'DOE25'!J205+'DOE25'!J223+'DOE25'!J241</f>
        <v>3433.98</v>
      </c>
      <c r="G12" s="53">
        <f>'DOE25'!K205+'DOE25'!K223+'DOE25'!K241</f>
        <v>3152.75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562911.62</v>
      </c>
      <c r="D14" s="20">
        <f>'DOE25'!L207+'DOE25'!L225+'DOE25'!L243-F14-G14</f>
        <v>544412.52</v>
      </c>
      <c r="E14" s="243"/>
      <c r="F14" s="255">
        <f>'DOE25'!J207+'DOE25'!J225+'DOE25'!J243</f>
        <v>18499.099999999999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629559.69999999995</v>
      </c>
      <c r="D15" s="20">
        <f>'DOE25'!L208+'DOE25'!L226+'DOE25'!L244-F15-G15</f>
        <v>629559.69999999995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25000</v>
      </c>
      <c r="D22" s="243"/>
      <c r="E22" s="243"/>
      <c r="F22" s="255">
        <f>'DOE25'!L255+'DOE25'!L336</f>
        <v>25000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225500</v>
      </c>
      <c r="D25" s="243"/>
      <c r="E25" s="243"/>
      <c r="F25" s="258"/>
      <c r="G25" s="256"/>
      <c r="H25" s="257">
        <f>'DOE25'!L260+'DOE25'!L261+'DOE25'!L341+'DOE25'!L342</f>
        <v>225500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140067.22</v>
      </c>
      <c r="D29" s="20">
        <f>'DOE25'!L358+'DOE25'!L359+'DOE25'!L360-'DOE25'!I367-F29-G29</f>
        <v>140067.22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190144.52</v>
      </c>
      <c r="D31" s="20">
        <f>'DOE25'!L290+'DOE25'!L309+'DOE25'!L328+'DOE25'!L333+'DOE25'!L334+'DOE25'!L335-F31-G31</f>
        <v>185589.31999999998</v>
      </c>
      <c r="E31" s="243"/>
      <c r="F31" s="255">
        <f>'DOE25'!J290+'DOE25'!J309+'DOE25'!J328+'DOE25'!J333+'DOE25'!J334+'DOE25'!J335</f>
        <v>4555.2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10655744.869999999</v>
      </c>
      <c r="E33" s="246">
        <f>SUM(E5:E31)</f>
        <v>362040.41000000003</v>
      </c>
      <c r="F33" s="246">
        <f>SUM(F5:F31)</f>
        <v>220577.77000000005</v>
      </c>
      <c r="G33" s="246">
        <f>SUM(G5:G31)</f>
        <v>35082.83</v>
      </c>
      <c r="H33" s="246">
        <f>SUM(H5:H31)</f>
        <v>225500</v>
      </c>
    </row>
    <row r="35" spans="2:8" ht="12" thickBot="1" x14ac:dyDescent="0.25">
      <c r="B35" s="253" t="s">
        <v>847</v>
      </c>
      <c r="D35" s="254">
        <f>E33</f>
        <v>362040.41000000003</v>
      </c>
      <c r="E35" s="249"/>
    </row>
    <row r="36" spans="2:8" ht="12" thickTop="1" x14ac:dyDescent="0.2">
      <c r="B36" t="s">
        <v>815</v>
      </c>
      <c r="D36" s="20">
        <f>D33</f>
        <v>10655744.869999999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6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1677391.63</v>
      </c>
      <c r="D8" s="95">
        <f>'DOE25'!G9</f>
        <v>38362.46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11687.2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35459.379999999997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100871.64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13955.78</v>
      </c>
      <c r="D12" s="95">
        <f>'DOE25'!G13</f>
        <v>7646.42</v>
      </c>
      <c r="E12" s="95">
        <f>'DOE25'!H13</f>
        <v>58474.35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1074.29</v>
      </c>
      <c r="D13" s="95">
        <f>'DOE25'!G14</f>
        <v>560.29999999999995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4377.01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1804980.5399999998</v>
      </c>
      <c r="D18" s="41">
        <f>SUM(D8:D17)</f>
        <v>50946.19</v>
      </c>
      <c r="E18" s="41">
        <f>SUM(E8:E17)</f>
        <v>58474.35</v>
      </c>
      <c r="F18" s="41">
        <f>SUM(F8:F17)</f>
        <v>0</v>
      </c>
      <c r="G18" s="41">
        <f>SUM(G8:G17)</f>
        <v>35459.379999999997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46032.86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54838.78</v>
      </c>
      <c r="F22" s="95">
        <f>'DOE25'!I23</f>
        <v>0</v>
      </c>
      <c r="G22" s="95">
        <f>'DOE25'!J23</f>
        <v>5499.99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1119469.3999999999</v>
      </c>
      <c r="D23" s="95">
        <f>'DOE25'!G24</f>
        <v>443.23</v>
      </c>
      <c r="E23" s="95">
        <f>'DOE25'!H24</f>
        <v>3255.69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81030.66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292.19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4449.12</v>
      </c>
      <c r="E29" s="95">
        <f>'DOE25'!H30</f>
        <v>379.88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120030.03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1320822.2799999998</v>
      </c>
      <c r="D31" s="41">
        <f>SUM(D21:D30)</f>
        <v>50925.210000000006</v>
      </c>
      <c r="E31" s="41">
        <f>SUM(E21:E30)</f>
        <v>58474.35</v>
      </c>
      <c r="F31" s="41">
        <f>SUM(F21:F30)</f>
        <v>0</v>
      </c>
      <c r="G31" s="41">
        <f>SUM(G21:G30)</f>
        <v>5499.99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4377.01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-4356.03</v>
      </c>
      <c r="E47" s="95">
        <f>'DOE25'!H48</f>
        <v>0</v>
      </c>
      <c r="F47" s="95">
        <f>'DOE25'!I48</f>
        <v>0</v>
      </c>
      <c r="G47" s="95">
        <f>'DOE25'!J48</f>
        <v>29959.39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374158.26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484158.26</v>
      </c>
      <c r="D50" s="41">
        <f>SUM(D34:D49)</f>
        <v>20.980000000000473</v>
      </c>
      <c r="E50" s="41">
        <f>SUM(E34:E49)</f>
        <v>0</v>
      </c>
      <c r="F50" s="41">
        <f>SUM(F34:F49)</f>
        <v>0</v>
      </c>
      <c r="G50" s="41">
        <f>SUM(G34:G49)</f>
        <v>29959.39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1804980.5399999998</v>
      </c>
      <c r="D51" s="41">
        <f>D50+D31</f>
        <v>50946.19000000001</v>
      </c>
      <c r="E51" s="41">
        <f>E50+E31</f>
        <v>58474.35</v>
      </c>
      <c r="F51" s="41">
        <f>F50+F31</f>
        <v>0</v>
      </c>
      <c r="G51" s="41">
        <f>G50+G31</f>
        <v>35459.379999999997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8183763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16220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120.68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3.83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90868.92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176360.41</v>
      </c>
      <c r="D61" s="95">
        <f>SUM('DOE25'!G98:G110)</f>
        <v>0</v>
      </c>
      <c r="E61" s="95">
        <f>SUM('DOE25'!H98:H110)</f>
        <v>1620.12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192701.09</v>
      </c>
      <c r="D62" s="130">
        <f>SUM(D57:D61)</f>
        <v>90868.92</v>
      </c>
      <c r="E62" s="130">
        <f>SUM(E57:E61)</f>
        <v>1620.12</v>
      </c>
      <c r="F62" s="130">
        <f>SUM(F57:F61)</f>
        <v>0</v>
      </c>
      <c r="G62" s="130">
        <f>SUM(G57:G61)</f>
        <v>3.83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8376464.0899999999</v>
      </c>
      <c r="D63" s="22">
        <f>D56+D62</f>
        <v>90868.92</v>
      </c>
      <c r="E63" s="22">
        <f>E56+E62</f>
        <v>1620.12</v>
      </c>
      <c r="F63" s="22">
        <f>F56+F62</f>
        <v>0</v>
      </c>
      <c r="G63" s="22">
        <f>G56+G62</f>
        <v>3.83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1712968.25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841615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7527.92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2562111.17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77252.960000000006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39999.57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10451.969999999999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117252.53</v>
      </c>
      <c r="D78" s="130">
        <f>SUM(D72:D77)</f>
        <v>10451.969999999999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2679363.6999999997</v>
      </c>
      <c r="D81" s="130">
        <f>SUM(D79:D80)+D78+D70</f>
        <v>10451.969999999999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24255.919999999998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70125.66</v>
      </c>
      <c r="D88" s="95">
        <f>SUM('DOE25'!G153:G161)</f>
        <v>41323.26</v>
      </c>
      <c r="E88" s="95">
        <f>SUM('DOE25'!H153:H161)</f>
        <v>164268.48000000001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70125.66</v>
      </c>
      <c r="D91" s="131">
        <f>SUM(D85:D90)</f>
        <v>41323.26</v>
      </c>
      <c r="E91" s="131">
        <f>SUM(E85:E90)</f>
        <v>188524.40000000002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20379.990000000002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20379.990000000002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11146333.439999999</v>
      </c>
      <c r="D104" s="86">
        <f>D63+D81+D91+D103</f>
        <v>142644.15</v>
      </c>
      <c r="E104" s="86">
        <f>E63+E81+E91+E103</f>
        <v>190144.52000000002</v>
      </c>
      <c r="F104" s="86">
        <f>F63+F81+F91+F103</f>
        <v>0</v>
      </c>
      <c r="G104" s="86">
        <f>G63+G81+G103</f>
        <v>10003.83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6185814.1099999994</v>
      </c>
      <c r="D109" s="24" t="s">
        <v>289</v>
      </c>
      <c r="E109" s="95">
        <f>('DOE25'!L276)+('DOE25'!L295)+('DOE25'!L314)</f>
        <v>35620.799999999996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1405979.0799999998</v>
      </c>
      <c r="D110" s="24" t="s">
        <v>289</v>
      </c>
      <c r="E110" s="95">
        <f>('DOE25'!L277)+('DOE25'!L296)+('DOE25'!L315)</f>
        <v>71172.459999999992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71230.16</v>
      </c>
      <c r="D112" s="24" t="s">
        <v>289</v>
      </c>
      <c r="E112" s="95">
        <f>+('DOE25'!L279)+('DOE25'!L298)+('DOE25'!L317)</f>
        <v>3654.32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7663023.3499999996</v>
      </c>
      <c r="D115" s="86">
        <f>SUM(D109:D114)</f>
        <v>0</v>
      </c>
      <c r="E115" s="86">
        <f>SUM(E109:E114)</f>
        <v>110447.57999999999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648572.91</v>
      </c>
      <c r="D118" s="24" t="s">
        <v>289</v>
      </c>
      <c r="E118" s="95">
        <f>+('DOE25'!L281)+('DOE25'!L300)+('DOE25'!L319)</f>
        <v>23209.4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276902.48000000004</v>
      </c>
      <c r="D119" s="24" t="s">
        <v>289</v>
      </c>
      <c r="E119" s="95">
        <f>+('DOE25'!L282)+('DOE25'!L301)+('DOE25'!L320)</f>
        <v>53163.94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700260.54000000015</v>
      </c>
      <c r="D120" s="24" t="s">
        <v>289</v>
      </c>
      <c r="E120" s="95">
        <f>+('DOE25'!L283)+('DOE25'!L302)+('DOE25'!L321)</f>
        <v>2601.6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425903.54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562911.62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629559.69999999995</v>
      </c>
      <c r="D124" s="24" t="s">
        <v>289</v>
      </c>
      <c r="E124" s="95">
        <f>+('DOE25'!L287)+('DOE25'!L306)+('DOE25'!L325)</f>
        <v>722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148517.94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3244110.79</v>
      </c>
      <c r="D128" s="86">
        <f>SUM(D118:D127)</f>
        <v>148517.94</v>
      </c>
      <c r="E128" s="86">
        <f>SUM(E118:E127)</f>
        <v>79696.94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25000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5500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20379.990000000002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10003.83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-3.8299999999999272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260500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20379.990000000002</v>
      </c>
    </row>
    <row r="145" spans="1:9" ht="12.75" thickTop="1" thickBot="1" x14ac:dyDescent="0.25">
      <c r="A145" s="33" t="s">
        <v>244</v>
      </c>
      <c r="C145" s="86">
        <f>(C115+C128+C144)</f>
        <v>11167634.140000001</v>
      </c>
      <c r="D145" s="86">
        <f>(D115+D128+D144)</f>
        <v>148517.94</v>
      </c>
      <c r="E145" s="86">
        <f>(E115+E128+E144)</f>
        <v>190144.52</v>
      </c>
      <c r="F145" s="86">
        <f>(F115+F128+F144)</f>
        <v>0</v>
      </c>
      <c r="G145" s="86">
        <f>(G115+G128+G144)</f>
        <v>20379.990000000002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08/04</v>
      </c>
      <c r="C152" s="152" t="str">
        <f>'DOE25'!G491</f>
        <v>04/13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08/14</v>
      </c>
      <c r="C153" s="152" t="str">
        <f>'DOE25'!G492</f>
        <v>08/17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2239800</v>
      </c>
      <c r="C154" s="137">
        <f>'DOE25'!G493</f>
        <v>67291.399999999994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3.63</v>
      </c>
      <c r="C155" s="137">
        <f>'DOE25'!G494</f>
        <v>2.68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220000</v>
      </c>
      <c r="C156" s="137">
        <f>'DOE25'!G495</f>
        <v>53587.77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273587.77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220000</v>
      </c>
      <c r="C158" s="137">
        <f>'DOE25'!G497</f>
        <v>12870.26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232870.26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40717.51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40717.51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40717.51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40717.51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Fremont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14490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14490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6221435</v>
      </c>
      <c r="D10" s="182">
        <f>ROUND((C10/$C$28)*100,1)</f>
        <v>55.7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1477152</v>
      </c>
      <c r="D11" s="182">
        <f>ROUND((C11/$C$28)*100,1)</f>
        <v>13.2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74884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671782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330066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702862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425904</v>
      </c>
      <c r="D18" s="182">
        <f t="shared" si="0"/>
        <v>3.8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562912</v>
      </c>
      <c r="D20" s="182">
        <f t="shared" si="0"/>
        <v>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630282</v>
      </c>
      <c r="D21" s="182">
        <f t="shared" si="0"/>
        <v>5.6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5500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57649.08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11160428.08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25000</v>
      </c>
    </row>
    <row r="30" spans="1:4" x14ac:dyDescent="0.2">
      <c r="B30" s="187" t="s">
        <v>729</v>
      </c>
      <c r="C30" s="180">
        <f>SUM(C28:C29)</f>
        <v>11185428.08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220000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8183763</v>
      </c>
      <c r="D35" s="182">
        <f t="shared" ref="D35:D40" si="1">ROUND((C35/$C$41)*100,1)</f>
        <v>72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194325.03999999911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2554583</v>
      </c>
      <c r="D37" s="182">
        <f t="shared" si="1"/>
        <v>22.5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135232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299973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11367876.039999999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Fremont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2015-09-09T14:35:51Z</cp:lastPrinted>
  <dcterms:created xsi:type="dcterms:W3CDTF">1997-12-04T19:04:30Z</dcterms:created>
  <dcterms:modified xsi:type="dcterms:W3CDTF">2015-12-10T18:08:59Z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