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39" i="12"/>
  <c r="B39" i="12"/>
  <c r="B21" i="12"/>
  <c r="C12" i="12"/>
  <c r="B12" i="12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E111" i="2" s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C25" i="10" s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L250" i="1"/>
  <c r="C113" i="2" s="1"/>
  <c r="L332" i="1"/>
  <c r="L254" i="1"/>
  <c r="L268" i="1"/>
  <c r="L269" i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F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2" i="2"/>
  <c r="E113" i="2"/>
  <c r="D115" i="2"/>
  <c r="F115" i="2"/>
  <c r="G115" i="2"/>
  <c r="E118" i="2"/>
  <c r="E121" i="2"/>
  <c r="E122" i="2"/>
  <c r="C125" i="2"/>
  <c r="E125" i="2"/>
  <c r="F128" i="2"/>
  <c r="G128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K257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G461" i="1" s="1"/>
  <c r="H640" i="1" s="1"/>
  <c r="H452" i="1"/>
  <c r="I452" i="1"/>
  <c r="F460" i="1"/>
  <c r="G460" i="1"/>
  <c r="H460" i="1"/>
  <c r="F461" i="1"/>
  <c r="H461" i="1"/>
  <c r="H641" i="1" s="1"/>
  <c r="F470" i="1"/>
  <c r="G470" i="1"/>
  <c r="G476" i="1" s="1"/>
  <c r="H623" i="1" s="1"/>
  <c r="H470" i="1"/>
  <c r="I470" i="1"/>
  <c r="I476" i="1" s="1"/>
  <c r="H625" i="1" s="1"/>
  <c r="J625" i="1" s="1"/>
  <c r="J470" i="1"/>
  <c r="F474" i="1"/>
  <c r="F476" i="1" s="1"/>
  <c r="H622" i="1" s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4" i="1"/>
  <c r="F565" i="1"/>
  <c r="F571" i="1" s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3" i="1"/>
  <c r="H643" i="1"/>
  <c r="J643" i="1" s="1"/>
  <c r="G644" i="1"/>
  <c r="G645" i="1"/>
  <c r="G649" i="1"/>
  <c r="G652" i="1"/>
  <c r="H652" i="1"/>
  <c r="G653" i="1"/>
  <c r="H653" i="1"/>
  <c r="G654" i="1"/>
  <c r="H654" i="1"/>
  <c r="H655" i="1"/>
  <c r="F192" i="1"/>
  <c r="I257" i="1"/>
  <c r="I271" i="1" s="1"/>
  <c r="C26" i="10"/>
  <c r="C91" i="2"/>
  <c r="G157" i="2"/>
  <c r="E31" i="2"/>
  <c r="L419" i="1"/>
  <c r="I169" i="1"/>
  <c r="F169" i="1"/>
  <c r="G22" i="2"/>
  <c r="J552" i="1"/>
  <c r="L401" i="1"/>
  <c r="C139" i="2" s="1"/>
  <c r="H25" i="13"/>
  <c r="C25" i="13" s="1"/>
  <c r="G192" i="1"/>
  <c r="J655" i="1"/>
  <c r="L570" i="1"/>
  <c r="L524" i="1" l="1"/>
  <c r="C35" i="10"/>
  <c r="A13" i="12"/>
  <c r="J641" i="1"/>
  <c r="J545" i="1"/>
  <c r="K503" i="1"/>
  <c r="G408" i="1"/>
  <c r="H645" i="1" s="1"/>
  <c r="L382" i="1"/>
  <c r="G636" i="1" s="1"/>
  <c r="J636" i="1" s="1"/>
  <c r="J338" i="1"/>
  <c r="J352" i="1" s="1"/>
  <c r="E103" i="2"/>
  <c r="C78" i="2"/>
  <c r="D62" i="2"/>
  <c r="D63" i="2" s="1"/>
  <c r="D31" i="2"/>
  <c r="D18" i="2"/>
  <c r="F18" i="2"/>
  <c r="C18" i="2"/>
  <c r="G112" i="1"/>
  <c r="I545" i="1"/>
  <c r="F552" i="1"/>
  <c r="A40" i="12"/>
  <c r="E114" i="2"/>
  <c r="C121" i="2"/>
  <c r="C120" i="2"/>
  <c r="C70" i="2"/>
  <c r="H112" i="1"/>
  <c r="F112" i="1"/>
  <c r="A31" i="12"/>
  <c r="F662" i="1"/>
  <c r="D127" i="2"/>
  <c r="D128" i="2" s="1"/>
  <c r="D18" i="13"/>
  <c r="C18" i="13" s="1"/>
  <c r="H33" i="13"/>
  <c r="L565" i="1"/>
  <c r="L539" i="1"/>
  <c r="J476" i="1"/>
  <c r="H626" i="1" s="1"/>
  <c r="H52" i="1"/>
  <c r="H619" i="1" s="1"/>
  <c r="G164" i="2"/>
  <c r="G161" i="2"/>
  <c r="G156" i="2"/>
  <c r="C132" i="2"/>
  <c r="L351" i="1"/>
  <c r="G661" i="1"/>
  <c r="E119" i="2"/>
  <c r="I369" i="1"/>
  <c r="H634" i="1" s="1"/>
  <c r="C114" i="2"/>
  <c r="C21" i="10"/>
  <c r="C123" i="2"/>
  <c r="C15" i="10"/>
  <c r="C19" i="10"/>
  <c r="K598" i="1"/>
  <c r="G647" i="1" s="1"/>
  <c r="J649" i="1"/>
  <c r="J651" i="1"/>
  <c r="L544" i="1"/>
  <c r="K551" i="1"/>
  <c r="H545" i="1"/>
  <c r="G545" i="1"/>
  <c r="H552" i="1"/>
  <c r="L534" i="1"/>
  <c r="K550" i="1"/>
  <c r="L529" i="1"/>
  <c r="G552" i="1"/>
  <c r="K549" i="1"/>
  <c r="J640" i="1"/>
  <c r="I460" i="1"/>
  <c r="I461" i="1" s="1"/>
  <c r="H642" i="1" s="1"/>
  <c r="J639" i="1"/>
  <c r="I446" i="1"/>
  <c r="G642" i="1" s="1"/>
  <c r="J645" i="1"/>
  <c r="J634" i="1"/>
  <c r="D29" i="13"/>
  <c r="C29" i="13" s="1"/>
  <c r="F661" i="1"/>
  <c r="H661" i="1"/>
  <c r="L362" i="1"/>
  <c r="C27" i="10" s="1"/>
  <c r="K271" i="1"/>
  <c r="L328" i="1"/>
  <c r="H338" i="1"/>
  <c r="H352" i="1" s="1"/>
  <c r="E110" i="2"/>
  <c r="F338" i="1"/>
  <c r="F352" i="1" s="1"/>
  <c r="E123" i="2"/>
  <c r="G338" i="1"/>
  <c r="G352" i="1" s="1"/>
  <c r="L309" i="1"/>
  <c r="K338" i="1"/>
  <c r="K352" i="1" s="1"/>
  <c r="E124" i="2"/>
  <c r="E128" i="2" s="1"/>
  <c r="L290" i="1"/>
  <c r="F22" i="13"/>
  <c r="C22" i="13" s="1"/>
  <c r="C29" i="10"/>
  <c r="H257" i="1"/>
  <c r="H271" i="1" s="1"/>
  <c r="L256" i="1"/>
  <c r="D17" i="13"/>
  <c r="C17" i="13" s="1"/>
  <c r="C119" i="2"/>
  <c r="L247" i="1"/>
  <c r="E16" i="13"/>
  <c r="C16" i="13" s="1"/>
  <c r="C124" i="2"/>
  <c r="G650" i="1"/>
  <c r="D15" i="13"/>
  <c r="C15" i="13" s="1"/>
  <c r="H647" i="1"/>
  <c r="G662" i="1"/>
  <c r="G257" i="1"/>
  <c r="G271" i="1" s="1"/>
  <c r="C20" i="10"/>
  <c r="C118" i="2"/>
  <c r="E13" i="13"/>
  <c r="C13" i="13" s="1"/>
  <c r="D6" i="13"/>
  <c r="C6" i="13" s="1"/>
  <c r="C112" i="2"/>
  <c r="L229" i="1"/>
  <c r="C11" i="10"/>
  <c r="C109" i="2"/>
  <c r="F257" i="1"/>
  <c r="F271" i="1" s="1"/>
  <c r="D7" i="13"/>
  <c r="C7" i="13" s="1"/>
  <c r="C13" i="10"/>
  <c r="C110" i="2"/>
  <c r="D14" i="13"/>
  <c r="C14" i="13" s="1"/>
  <c r="C18" i="10"/>
  <c r="D12" i="13"/>
  <c r="C12" i="13" s="1"/>
  <c r="C17" i="10"/>
  <c r="C16" i="10"/>
  <c r="L211" i="1"/>
  <c r="C10" i="10"/>
  <c r="D5" i="13"/>
  <c r="C5" i="13" s="1"/>
  <c r="D91" i="2"/>
  <c r="E33" i="13"/>
  <c r="D35" i="13" s="1"/>
  <c r="D50" i="2"/>
  <c r="E81" i="2"/>
  <c r="D145" i="2"/>
  <c r="C62" i="2"/>
  <c r="C63" i="2" s="1"/>
  <c r="J623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F193" i="1" l="1"/>
  <c r="G627" i="1" s="1"/>
  <c r="J627" i="1" s="1"/>
  <c r="D104" i="2"/>
  <c r="I662" i="1"/>
  <c r="E115" i="2"/>
  <c r="J642" i="1"/>
  <c r="C81" i="2"/>
  <c r="J647" i="1"/>
  <c r="L545" i="1"/>
  <c r="K552" i="1"/>
  <c r="H646" i="1"/>
  <c r="G635" i="1"/>
  <c r="J635" i="1" s="1"/>
  <c r="I661" i="1"/>
  <c r="H660" i="1"/>
  <c r="H664" i="1" s="1"/>
  <c r="H667" i="1" s="1"/>
  <c r="G660" i="1"/>
  <c r="G664" i="1" s="1"/>
  <c r="G667" i="1" s="1"/>
  <c r="L338" i="1"/>
  <c r="L352" i="1" s="1"/>
  <c r="G633" i="1" s="1"/>
  <c r="J633" i="1" s="1"/>
  <c r="E145" i="2"/>
  <c r="D31" i="13"/>
  <c r="C31" i="13" s="1"/>
  <c r="C128" i="2"/>
  <c r="C115" i="2"/>
  <c r="L257" i="1"/>
  <c r="L271" i="1" s="1"/>
  <c r="G632" i="1" s="1"/>
  <c r="J632" i="1" s="1"/>
  <c r="F660" i="1"/>
  <c r="F664" i="1" s="1"/>
  <c r="F672" i="1" s="1"/>
  <c r="C4" i="10" s="1"/>
  <c r="C28" i="10"/>
  <c r="D19" i="10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72" i="1"/>
  <c r="C6" i="10" s="1"/>
  <c r="C145" i="2"/>
  <c r="G672" i="1"/>
  <c r="C5" i="10" s="1"/>
  <c r="D26" i="10"/>
  <c r="I660" i="1"/>
  <c r="I664" i="1" s="1"/>
  <c r="I672" i="1" s="1"/>
  <c r="C7" i="10" s="1"/>
  <c r="F667" i="1"/>
  <c r="D10" i="10"/>
  <c r="C30" i="10"/>
  <c r="D16" i="10"/>
  <c r="D23" i="10"/>
  <c r="D18" i="10"/>
  <c r="D13" i="10"/>
  <c r="D11" i="10"/>
  <c r="D21" i="10"/>
  <c r="D22" i="10"/>
  <c r="D27" i="10"/>
  <c r="D17" i="10"/>
  <c r="D12" i="10"/>
  <c r="D24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<sst xmlns="http://schemas.openxmlformats.org/spreadsheetml/2006/main" count="3956" uniqueCount="914">
  <si>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</si>
  <si>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</si>
  <si>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</si>
  <si>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</si>
  <si>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</si>
  <si>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</si>
  <si>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</si>
  <si>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</si>
  <si>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</si>
  <si>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</si>
  <si>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</si>
  <si>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</si>
  <si>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</si>
  <si>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</si>
  <si>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</si>
  <si>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</si>
  <si>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</si>
  <si>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</si>
  <si>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</si>
  <si>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</si>
  <si>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</si>
  <si>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</si>
  <si>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</si>
  <si>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</si>
  <si>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</si>
  <si>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</si>
  <si>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</si>
  <si>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</si>
  <si>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</si>
  <si>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</si>
  <si>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</si>
  <si>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</si>
  <si>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</si>
  <si>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</si>
  <si>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</si>
  <si>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</si>
  <si>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</si>
  <si>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</si>
  <si>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</si>
  <si>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</si>
  <si>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</si>
  <si>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</si>
  <si>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</si>
  <si>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</si>
  <si>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</si>
  <si>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</si>
  <si>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</si>
  <si>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</si>
  <si>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</si>
  <si>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</si>
  <si>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</si>
  <si>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</si>
  <si>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</si>
  <si>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</si>
  <si>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</si>
  <si>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</si>
  <si>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</si>
  <si>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</si>
  <si>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</si>
  <si>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</si>
  <si>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</si>
  <si>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</si>
  <si>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</si>
  <si>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</si>
  <si>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</si>
  <si>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</si>
  <si>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</si>
  <si>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</si>
  <si>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</si>
  <si>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</si>
  <si>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</si>
  <si>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</si>
  <si>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</si>
  <si>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</si>
  <si>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</si>
  <si>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</si>
  <si>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</si>
  <si>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</si>
  <si>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</si>
  <si>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</si>
  <si>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</si>
  <si>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</si>
  <si>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</si>
  <si>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</si>
  <si>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</si>
  <si>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</si>
  <si>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</si>
  <si>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</si>
  <si>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</si>
  <si>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</si>
  <si>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</si>
  <si>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</si>
  <si>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</si>
  <si>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</si>
  <si>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</si>
  <si>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</si>
  <si>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</si>
  <si>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</si>
  <si>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</si>
  <si>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</si>
  <si>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</si>
  <si>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</si>
  <si>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</si>
  <si>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</si>
  <si>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</si>
  <si>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</si>
  <si>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</si>
  <si>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</si>
  <si>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</si>
  <si>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</si>
  <si>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</si>
  <si>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</si>
  <si>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</si>
  <si>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</si>
  <si>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</si>
  <si>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</si>
  <si>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</si>
  <si>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</si>
  <si>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</si>
  <si>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</si>
  <si>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</si>
  <si>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</si>
  <si>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</si>
  <si>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</si>
  <si>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</si>
  <si>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</si>
  <si>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</si>
  <si>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</si>
  <si>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</si>
  <si>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</si>
  <si>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</si>
  <si>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</si>
  <si>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</si>
  <si>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</si>
  <si>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</si>
  <si>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</si>
  <si>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</si>
  <si>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</si>
  <si>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</si>
  <si>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</si>
  <si>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</si>
  <si>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</si>
  <si>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</si>
  <si>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</si>
  <si>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</si>
  <si>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</si>
  <si>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</si>
  <si>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</si>
  <si>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</si>
  <si>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</si>
  <si>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</si>
  <si>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</si>
  <si>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</si>
  <si>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</si>
  <si>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</si>
  <si>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</si>
  <si>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</si>
  <si>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</si>
  <si>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</si>
  <si>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</si>
  <si>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</si>
  <si>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</si>
  <si>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</si>
  <si>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</si>
  <si>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</si>
  <si>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</si>
  <si>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</si>
  <si>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</si>
  <si>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</si>
  <si>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</si>
  <si>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</si>
  <si>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</si>
  <si>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</si>
  <si>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</si>
  <si>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</si>
  <si>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</si>
  <si>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</si>
  <si>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</si>
  <si>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</si>
  <si>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</si>
  <si>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</si>
  <si>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</si>
  <si>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</si>
  <si>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</si>
  <si>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</si>
  <si>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</si>
  <si>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</si>
  <si>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</si>
  <si>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</si>
  <si>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</si>
  <si>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</si>
  <si>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</si>
  <si>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</si>
  <si>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</si>
  <si>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</si>
  <si>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</si>
  <si>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</si>
  <si>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</si>
  <si>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</si>
  <si>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</si>
  <si>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</si>
  <si>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</si>
  <si>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</si>
  <si>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</si>
  <si>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</si>
  <si>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</si>
  <si>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</si>
  <si>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</si>
  <si>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</si>
  <si>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</si>
  <si>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</si>
  <si>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</si>
  <si>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</si>
  <si>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</si>
  <si>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</si>
  <si>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</si>
  <si>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</si>
  <si>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</si>
  <si>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</si>
  <si>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</si>
  <si>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</si>
  <si>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</si>
  <si>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</si>
  <si>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</si>
  <si>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</si>
  <si>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</si>
  <si>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</si>
  <si>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</si>
  <si>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</si>
  <si>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</si>
  <si>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</si>
  <si>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</si>
  <si>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</si>
  <si>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</si>
  <si>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</si>
  <si>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</si>
  <si>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</si>
  <si>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</si>
  <si>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</si>
  <si>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</si>
  <si>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</si>
  <si>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</si>
  <si>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</si>
  <si>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</si>
  <si>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</si>
  <si>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</si>
  <si>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</si>
  <si>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</si>
  <si>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</si>
  <si>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</si>
  <si>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</si>
  <si>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</si>
  <si>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</si>
  <si>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</si>
  <si>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</si>
  <si>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</si>
  <si>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</si>
  <si>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</si>
  <si>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</si>
  <si>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</si>
  <si>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</si>
  <si>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</si>
  <si>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</si>
  <si>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</si>
  <si>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</si>
  <si>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</si>
  <si>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</si>
  <si>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</si>
  <si>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</si>
  <si>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</si>
  <si>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</si>
  <si>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</si>
  <si>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</si>
  <si>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</si>
  <si>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</si>
  <si>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</si>
  <si>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</si>
  <si>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</si>
  <si>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</si>
  <si>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</si>
  <si>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</si>
  <si>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</si>
  <si>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</si>
  <si>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</si>
  <si>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</si>
  <si>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</si>
  <si>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</si>
  <si>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</si>
  <si>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</si>
  <si>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</si>
  <si>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</si>
  <si>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</si>
  <si>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</si>
  <si>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</si>
  <si>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</si>
  <si>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</si>
  <si>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</si>
  <si>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</si>
  <si>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</si>
  <si>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</si>
  <si>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</si>
  <si>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</si>
  <si>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</si>
  <si>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</si>
  <si>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</si>
  <si>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</si>
  <si>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</si>
  <si>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</si>
  <si>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</si>
  <si>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</si>
  <si>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</si>
  <si>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</si>
  <si>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</si>
  <si>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</si>
  <si>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</si>
  <si>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</si>
  <si>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</si>
  <si>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</si>
  <si>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</si>
  <si>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</si>
  <si>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</si>
  <si>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</si>
  <si>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</si>
  <si>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</si>
  <si>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</si>
  <si>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</si>
  <si>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</si>
  <si>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</si>
  <si>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</si>
  <si>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</si>
  <si>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</si>
  <si>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</si>
  <si>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</si>
  <si>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</si>
  <si>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</si>
  <si>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</si>
  <si>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</si>
  <si>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</si>
  <si>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</si>
  <si>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</si>
  <si>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</si>
  <si>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</si>
  <si>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</si>
  <si>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</si>
  <si>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</si>
  <si>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</si>
  <si>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</si>
  <si>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</si>
  <si>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</si>
  <si>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</si>
  <si>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</si>
  <si>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</si>
  <si>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</si>
  <si>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</si>
  <si>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</si>
  <si>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</si>
  <si>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</si>
  <si>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</si>
  <si>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</si>
  <si>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</si>
  <si>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</si>
  <si>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</si>
  <si>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</si>
  <si>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</si>
  <si>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</si>
  <si>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</si>
  <si>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</si>
  <si>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</si>
  <si>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</si>
  <si>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</si>
  <si>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</si>
  <si>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</si>
  <si>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</si>
  <si>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</si>
  <si>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</si>
  <si>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</si>
  <si>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</si>
  <si>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</si>
  <si>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</si>
  <si>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</si>
  <si>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</si>
  <si>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</si>
  <si>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</si>
  <si>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</si>
  <si>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</si>
  <si>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</si>
  <si>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</si>
  <si>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</si>
  <si>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</si>
  <si>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</si>
  <si>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</si>
  <si>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</si>
  <si>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</si>
  <si>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</si>
  <si>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</si>
  <si>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</si>
  <si>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</si>
  <si>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</si>
  <si>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</si>
  <si>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</si>
  <si>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</si>
  <si>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</si>
  <si>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</si>
  <si>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</si>
  <si>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</si>
  <si>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</si>
  <si>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</si>
  <si>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</si>
  <si>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</si>
  <si>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</si>
  <si>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</si>
  <si>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</si>
  <si>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</si>
  <si>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</si>
  <si>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</si>
  <si>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</si>
  <si>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</si>
  <si>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</si>
  <si>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</si>
  <si>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</si>
  <si>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</si>
  <si>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</si>
  <si>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</si>
  <si>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</si>
  <si>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</si>
  <si>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</si>
  <si>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</si>
  <si>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</si>
  <si>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</si>
  <si>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</si>
  <si>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</si>
  <si>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</si>
  <si>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</si>
  <si>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</si>
  <si>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</si>
  <si>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</si>
  <si>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</si>
  <si>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</si>
  <si>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</si>
  <si>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</si>
  <si>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</si>
  <si>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</si>
  <si>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</si>
  <si>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</si>
  <si>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</si>
  <si>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</si>
  <si>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</si>
  <si>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</si>
  <si>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</si>
  <si>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</si>
  <si>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</si>
  <si>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</si>
  <si>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</si>
  <si>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</si>
  <si>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</si>
  <si>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</si>
  <si>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</si>
  <si>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</si>
  <si>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</si>
  <si>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</si>
  <si>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</si>
  <si>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</si>
  <si>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</si>
  <si>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</si>
  <si>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</si>
  <si>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</si>
  <si>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</si>
  <si>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</si>
  <si>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</si>
  <si>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</si>
  <si>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</si>
  <si>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</si>
  <si>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</si>
  <si>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</si>
  <si>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</si>
  <si>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</si>
  <si>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</si>
  <si>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</si>
  <si>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</si>
  <si>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</si>
  <si>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</si>
  <si>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</si>
  <si>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</si>
  <si>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</si>
  <si>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</si>
  <si>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</si>
  <si>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</si>
  <si>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</si>
  <si>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</si>
  <si>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</si>
  <si>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</si>
  <si>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</si>
  <si>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</si>
  <si>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</si>
  <si>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</si>
  <si>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</si>
  <si>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</si>
  <si>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</si>
  <si>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</si>
  <si>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</si>
  <si>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</si>
  <si>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</si>
  <si>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</si>
  <si>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</si>
  <si>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</si>
  <si>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</si>
  <si>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</si>
  <si>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</si>
  <si>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</si>
  <si>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</si>
  <si>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</si>
  <si>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</si>
  <si>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</si>
  <si>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</si>
  <si>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</si>
  <si>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</si>
  <si>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</si>
  <si>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</si>
  <si>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</si>
  <si>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</si>
  <si>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</si>
  <si>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</si>
  <si>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</si>
  <si>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</si>
  <si>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</si>
  <si>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</si>
  <si>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</si>
  <si>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</si>
  <si>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</si>
  <si>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</si>
  <si>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</si>
  <si>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</si>
  <si>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</si>
  <si>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</si>
  <si>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</si>
  <si>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</si>
  <si>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</si>
  <si>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</si>
  <si>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</si>
  <si>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</si>
  <si>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</si>
  <si>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</si>
  <si>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</si>
  <si>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</si>
  <si>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</si>
  <si>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</si>
  <si>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</si>
  <si>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</si>
  <si>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</si>
  <si>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</si>
  <si>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</si>
  <si>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</si>
  <si>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</si>
  <si>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</si>
  <si>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</si>
  <si>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</si>
  <si>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</si>
  <si>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</si>
  <si>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</si>
  <si>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</si>
  <si>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</si>
  <si>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</si>
  <si>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</si>
  <si>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</si>
  <si>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</si>
  <si>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</si>
  <si>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</si>
  <si>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</si>
  <si>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</si>
  <si>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</si>
  <si>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</si>
  <si>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</si>
  <si>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</si>
  <si>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</si>
  <si>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</si>
  <si>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</si>
  <si>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</si>
  <si>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</si>
  <si>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</si>
  <si>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</si>
  <si>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</si>
  <si>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</si>
  <si>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</si>
  <si>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</si>
  <si>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</si>
  <si>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</si>
  <si>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</si>
  <si>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</si>
  <si>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</si>
  <si>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</si>
  <si>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</si>
  <si>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</si>
  <si>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</si>
  <si>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</si>
  <si>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</si>
  <si>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</si>
  <si>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</si>
  <si>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</si>
  <si>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</si>
  <si>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</si>
  <si>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</si>
  <si>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</si>
  <si>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</si>
  <si>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</si>
  <si>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</si>
  <si>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</si>
  <si>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</si>
  <si>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</si>
  <si>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</si>
  <si>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</si>
  <si>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</si>
  <si>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</si>
  <si>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</si>
  <si>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</si>
  <si>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</si>
  <si>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</si>
  <si>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</si>
  <si>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</si>
  <si>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</si>
  <si>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</si>
  <si>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</si>
  <si>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</si>
  <si>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</si>
  <si>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</si>
  <si>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</si>
  <si>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</si>
  <si>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</si>
  <si>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</si>
  <si>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</si>
  <si>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</si>
  <si>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</si>
  <si>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</si>
  <si>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</si>
  <si>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</si>
  <si>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</si>
  <si>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</si>
  <si>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</si>
  <si>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</si>
  <si>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</si>
  <si>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</si>
  <si>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</si>
  <si>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</si>
  <si>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</si>
  <si>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</si>
  <si>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</si>
  <si>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</si>
  <si>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</si>
  <si>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</si>
  <si>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</si>
  <si>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</si>
  <si>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</si>
  <si>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</si>
  <si>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</si>
  <si>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</si>
  <si>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</si>
  <si>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</si>
  <si>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</si>
  <si>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</si>
  <si>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</si>
  <si>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</si>
  <si>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</si>
  <si>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</si>
  <si>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</si>
  <si>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</si>
  <si>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</si>
  <si>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</si>
  <si>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</si>
  <si>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</si>
  <si>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</si>
  <si>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</si>
  <si>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</si>
  <si>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</si>
  <si>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</si>
  <si>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</si>
  <si>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</si>
  <si>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</si>
  <si>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</si>
  <si>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</si>
  <si>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</si>
  <si>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</si>
  <si>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</si>
  <si>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</si>
  <si>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</si>
  <si>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</si>
  <si>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</si>
  <si>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</si>
  <si>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</si>
  <si>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</si>
  <si>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</si>
  <si>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</si>
  <si>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</si>
  <si>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</si>
  <si>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</si>
  <si>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</si>
  <si>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</si>
  <si>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</si>
  <si>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</si>
  <si>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</si>
  <si>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</si>
  <si>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</si>
  <si>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</si>
  <si>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</si>
  <si>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</si>
  <si>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</si>
  <si>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</si>
  <si>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</si>
  <si>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</si>
  <si>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</si>
  <si>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</si>
  <si>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</si>
  <si>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</si>
  <si>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</si>
  <si>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</si>
  <si>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</si>
  <si>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</si>
  <si>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</si>
  <si>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</si>
  <si>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</si>
  <si>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</si>
  <si>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</si>
  <si>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</si>
  <si>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</si>
  <si>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</si>
  <si>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</si>
  <si>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</si>
  <si>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</si>
  <si>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</si>
  <si>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</si>
  <si>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</si>
  <si>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</si>
  <si>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</si>
  <si>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</si>
  <si>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</si>
  <si>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</si>
  <si>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</si>
  <si>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</si>
  <si>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</si>
  <si>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</si>
  <si>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</si>
  <si>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</si>
  <si>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</si>
  <si>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</si>
  <si>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</si>
  <si>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</si>
  <si>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</si>
  <si>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</si>
  <si>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</si>
  <si>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</si>
  <si>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</si>
  <si>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</si>
  <si>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</si>
  <si>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</si>
  <si>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</si>
  <si>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</si>
  <si>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</si>
  <si>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</si>
  <si>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</si>
  <si>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</si>
  <si>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</si>
  <si>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</si>
  <si>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</si>
  <si>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</si>
  <si>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</si>
  <si>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</si>
  <si>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</si>
  <si>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</si>
  <si>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</si>
  <si>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</si>
  <si>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</si>
  <si>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</si>
  <si>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</si>
  <si>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</si>
  <si>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</si>
  <si>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</si>
  <si>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</si>
  <si>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</si>
  <si>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</si>
  <si>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</si>
  <si>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</si>
  <si>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</si>
  <si>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</si>
  <si>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</si>
  <si>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</si>
  <si>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</si>
  <si>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</si>
  <si>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</si>
  <si>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</si>
  <si>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</si>
  <si>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</si>
  <si>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</si>
  <si>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</si>
  <si>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</si>
  <si>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</si>
  <si>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</si>
  <si>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</si>
  <si>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</si>
  <si>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</si>
  <si>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</si>
  <si>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</si>
  <si>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</si>
  <si>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</si>
  <si>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</si>
  <si>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</si>
  <si>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</si>
  <si>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</si>
  <si>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</si>
  <si>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</si>
  <si>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</si>
  <si>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</si>
  <si>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</si>
  <si>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</si>
  <si>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</si>
  <si>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</si>
  <si>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</si>
  <si>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</si>
  <si>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</si>
  <si>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</si>
  <si>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</si>
  <si>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</si>
  <si>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</si>
  <si>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</si>
  <si>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</si>
  <si>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</si>
  <si>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</si>
  <si>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</si>
  <si>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</si>
  <si>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</si>
  <si>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</si>
  <si>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</si>
  <si>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</si>
  <si>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</si>
  <si>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</si>
  <si>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</si>
  <si>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</si>
  <si>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</si>
  <si>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</si>
  <si>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</si>
  <si>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</si>
  <si>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</si>
  <si>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</si>
  <si>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</si>
  <si>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</si>
  <si>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</si>
  <si>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</si>
  <si>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</si>
  <si>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</si>
  <si>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</si>
  <si>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</si>
  <si>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</si>
  <si>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</si>
  <si>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</si>
  <si>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</si>
  <si>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</si>
  <si>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</si>
  <si>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</si>
  <si>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</si>
  <si>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</si>
  <si>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</si>
  <si>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</si>
  <si>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</si>
  <si>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</si>
  <si>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</si>
  <si>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</si>
  <si>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</si>
  <si>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</si>
  <si>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</si>
  <si>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</si>
  <si>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</si>
  <si>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</si>
  <si>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</si>
  <si>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</si>
  <si>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</si>
  <si>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</si>
  <si>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</si>
  <si>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</si>
  <si>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</si>
  <si>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</si>
  <si>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</si>
  <si>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</si>
  <si>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</si>
  <si>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</si>
  <si>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</si>
  <si>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</si>
  <si>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</si>
  <si>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</si>
  <si>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</si>
  <si>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</si>
  <si>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</si>
  <si>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</si>
  <si>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</si>
  <si>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</si>
  <si>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</si>
  <si>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</si>
  <si>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</si>
  <si>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</si>
  <si>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</si>
  <si>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</si>
  <si>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</si>
  <si>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</si>
  <si>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</si>
  <si>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</si>
  <si>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</si>
  <si>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</si>
  <si>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</si>
  <si>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</si>
  <si>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</si>
  <si>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</si>
  <si>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</si>
  <si>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</si>
  <si>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</si>
  <si>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</si>
  <si>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Goffstown</t>
  </si>
  <si>
    <t>10/10</t>
  </si>
  <si>
    <t>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</si>
</sst>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199</v>
      </c>
      <c r="C2" s="21">
        <v>199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5867262</v>
      </c>
      <c r="G9" s="18">
        <v>154135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35218</v>
      </c>
      <c r="H12" s="18"/>
      <c r="I12" s="18"/>
      <c r="J12" s="67">
        <f>SUM(I441)</f>
        <v>300000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21166</v>
      </c>
      <c r="H13" s="18">
        <v>25318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1899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13826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61098</v>
      </c>
      <c r="G17" s="18">
        <v>3753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850436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5942186</v>
      </c>
      <c r="G19" s="41">
        <f>SUM(G9:G18)</f>
        <v>216171</v>
      </c>
      <c r="H19" s="41">
        <f>SUM(H9:H18)</f>
        <v>25318</v>
      </c>
      <c r="I19" s="41">
        <f>SUM(I9:I18)</f>
        <v>0</v>
      </c>
      <c r="J19" s="41">
        <f>SUM(J9:J18)</f>
        <v>1150436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94335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1133540</v>
      </c>
      <c r="G24" s="18"/>
      <c r="H24" s="18">
        <v>4528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56325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8130</v>
      </c>
      <c r="G30" s="18"/>
      <c r="H30" s="18">
        <v>20790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1262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1293592</v>
      </c>
      <c r="G32" s="41">
        <f>SUM(G22:G31)</f>
        <v>0</v>
      </c>
      <c r="H32" s="41">
        <f>SUM(H22:H31)</f>
        <v>25318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13826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61098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607931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548155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1753253</v>
      </c>
      <c r="G48" s="18">
        <v>216171</v>
      </c>
      <c r="H48" s="18"/>
      <c r="I48" s="18"/>
      <c r="J48" s="13">
        <f>SUM(I459)</f>
        <v>1150436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1251307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413024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4648594</v>
      </c>
      <c r="G51" s="41">
        <f>SUM(G35:G50)</f>
        <v>216171</v>
      </c>
      <c r="H51" s="41">
        <f>SUM(H35:H50)</f>
        <v>0</v>
      </c>
      <c r="I51" s="41">
        <f>SUM(I35:I50)</f>
        <v>0</v>
      </c>
      <c r="J51" s="41">
        <f>SUM(J35:J50)</f>
        <v>1150436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5942186</v>
      </c>
      <c r="G52" s="41">
        <f>G51+G32</f>
        <v>216171</v>
      </c>
      <c r="H52" s="41">
        <f>H51+H32</f>
        <v>25318</v>
      </c>
      <c r="I52" s="41">
        <f>I51+I32</f>
        <v>0</v>
      </c>
      <c r="J52" s="41">
        <f>J51+J32</f>
        <v>1150436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18680946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18680946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38333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31613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6611527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512851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7194324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-1706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680840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35785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4280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23118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35339</v>
      </c>
      <c r="G110" s="18"/>
      <c r="H110" s="18">
        <v>7742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37913</v>
      </c>
      <c r="G111" s="41">
        <f>SUM(G96:G110)</f>
        <v>680840</v>
      </c>
      <c r="H111" s="41">
        <f>SUM(H96:H110)</f>
        <v>66645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25913183</v>
      </c>
      <c r="G112" s="41">
        <f>G60+G111</f>
        <v>680840</v>
      </c>
      <c r="H112" s="41">
        <f>H60+H79+H94+H111</f>
        <v>66645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6692847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3245261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9938108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321250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340330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21778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12614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683358</v>
      </c>
      <c r="G136" s="41">
        <f>SUM(G123:G135)</f>
        <v>12614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10621466</v>
      </c>
      <c r="G140" s="41">
        <f>G121+SUM(G136:G137)</f>
        <v>12614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413600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614336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277104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355997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355997</v>
      </c>
      <c r="G162" s="41">
        <f>SUM(G150:G161)</f>
        <v>277104</v>
      </c>
      <c r="H162" s="41">
        <f>SUM(H150:H161)</f>
        <v>1027936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50580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355997</v>
      </c>
      <c r="G169" s="41">
        <f>G147+G162+SUM(G163:G168)</f>
        <v>327684</v>
      </c>
      <c r="H169" s="41">
        <f>H147+H162+SUM(H163:H168)</f>
        <v>1027936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204</v>
      </c>
      <c r="H179" s="18"/>
      <c r="I179" s="18"/>
      <c r="J179" s="18">
        <v>300000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204</v>
      </c>
      <c r="H183" s="41">
        <f>SUM(H179:H182)</f>
        <v>0</v>
      </c>
      <c r="I183" s="41">
        <f>SUM(I179:I182)</f>
        <v>0</v>
      </c>
      <c r="J183" s="41">
        <f>SUM(J179:J182)</f>
        <v>300000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204</v>
      </c>
      <c r="H192" s="41">
        <f>+H183+SUM(H188:H191)</f>
        <v>0</v>
      </c>
      <c r="I192" s="41">
        <f>I177+I183+SUM(I188:I191)</f>
        <v>0</v>
      </c>
      <c r="J192" s="41">
        <f>J183</f>
        <v>300000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36890646</v>
      </c>
      <c r="G193" s="47">
        <f>G112+G140+G169+G192</f>
        <v>1021342</v>
      </c>
      <c r="H193" s="47">
        <f>H112+H140+H169+H192</f>
        <v>1094581</v>
      </c>
      <c r="I193" s="47">
        <f>I112+I140+I169+I192</f>
        <v>0</v>
      </c>
      <c r="J193" s="47">
        <f>J112+J140+J192</f>
        <v>300000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2468221</v>
      </c>
      <c r="G197" s="18">
        <v>1234697</v>
      </c>
      <c r="H197" s="18">
        <v>74402</v>
      </c>
      <c r="I197" s="18">
        <v>114118</v>
      </c>
      <c r="J197" s="18">
        <v>17779</v>
      </c>
      <c r="K197" s="18"/>
      <c r="L197" s="19">
        <f>SUM(F197:K197)</f>
        <v>3909217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1240110</v>
      </c>
      <c r="G198" s="18">
        <v>683024</v>
      </c>
      <c r="H198" s="18">
        <v>700006</v>
      </c>
      <c r="I198" s="18">
        <v>23005</v>
      </c>
      <c r="J198" s="18">
        <v>1705</v>
      </c>
      <c r="K198" s="18">
        <v>1250</v>
      </c>
      <c r="L198" s="19">
        <f>SUM(F198:K198)</f>
        <v>2649100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22756</v>
      </c>
      <c r="G200" s="18">
        <v>5202</v>
      </c>
      <c r="H200" s="18">
        <v>1600</v>
      </c>
      <c r="I200" s="18">
        <v>1654</v>
      </c>
      <c r="J200" s="18"/>
      <c r="K200" s="18"/>
      <c r="L200" s="19">
        <f>SUM(F200:K200)</f>
        <v>31212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416271</v>
      </c>
      <c r="G202" s="18">
        <v>235720</v>
      </c>
      <c r="H202" s="18">
        <v>5570</v>
      </c>
      <c r="I202" s="18">
        <v>20013</v>
      </c>
      <c r="J202" s="18"/>
      <c r="K202" s="18"/>
      <c r="L202" s="19">
        <f t="shared" ref="L202:L208" si="0">SUM(F202:K202)</f>
        <v>677574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216059</v>
      </c>
      <c r="G203" s="18">
        <v>95847</v>
      </c>
      <c r="H203" s="18">
        <v>12036</v>
      </c>
      <c r="I203" s="18">
        <v>20359</v>
      </c>
      <c r="J203" s="18"/>
      <c r="K203" s="18"/>
      <c r="L203" s="19">
        <f t="shared" si="0"/>
        <v>344301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6514</v>
      </c>
      <c r="G204" s="18">
        <v>810</v>
      </c>
      <c r="H204" s="18">
        <v>396896</v>
      </c>
      <c r="I204" s="18"/>
      <c r="J204" s="18"/>
      <c r="K204" s="18"/>
      <c r="L204" s="19">
        <f t="shared" si="0"/>
        <v>404220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753204</v>
      </c>
      <c r="G205" s="18">
        <v>229920</v>
      </c>
      <c r="H205" s="18">
        <v>36165</v>
      </c>
      <c r="I205" s="18">
        <v>3177</v>
      </c>
      <c r="J205" s="18"/>
      <c r="K205" s="18">
        <v>5756</v>
      </c>
      <c r="L205" s="19">
        <f t="shared" si="0"/>
        <v>1028222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232975</v>
      </c>
      <c r="G207" s="18">
        <v>133134</v>
      </c>
      <c r="H207" s="18">
        <v>459609</v>
      </c>
      <c r="I207" s="18">
        <v>196795</v>
      </c>
      <c r="J207" s="18">
        <v>89424</v>
      </c>
      <c r="K207" s="18"/>
      <c r="L207" s="19">
        <f t="shared" si="0"/>
        <v>1111937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612510</v>
      </c>
      <c r="I208" s="18"/>
      <c r="J208" s="18"/>
      <c r="K208" s="18"/>
      <c r="L208" s="19">
        <f t="shared" si="0"/>
        <v>612510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2843</v>
      </c>
      <c r="H209" s="18"/>
      <c r="I209" s="18"/>
      <c r="J209" s="18"/>
      <c r="K209" s="18"/>
      <c r="L209" s="19">
        <f>SUM(F209:K209)</f>
        <v>2843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5356110</v>
      </c>
      <c r="G211" s="41">
        <f t="shared" si="1"/>
        <v>2621197</v>
      </c>
      <c r="H211" s="41">
        <f t="shared" si="1"/>
        <v>2298794</v>
      </c>
      <c r="I211" s="41">
        <f t="shared" si="1"/>
        <v>379121</v>
      </c>
      <c r="J211" s="41">
        <f t="shared" si="1"/>
        <v>108908</v>
      </c>
      <c r="K211" s="41">
        <f t="shared" si="1"/>
        <v>7006</v>
      </c>
      <c r="L211" s="41">
        <f t="shared" si="1"/>
        <v>10771136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3049837</v>
      </c>
      <c r="G215" s="18">
        <v>1503944</v>
      </c>
      <c r="H215" s="18">
        <v>74408</v>
      </c>
      <c r="I215" s="18">
        <v>97700</v>
      </c>
      <c r="J215" s="18">
        <v>75611</v>
      </c>
      <c r="K215" s="18">
        <v>486</v>
      </c>
      <c r="L215" s="19">
        <f>SUM(F215:K215)</f>
        <v>4801986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1244770</v>
      </c>
      <c r="G216" s="18">
        <v>771983</v>
      </c>
      <c r="H216" s="18">
        <v>351021</v>
      </c>
      <c r="I216" s="18">
        <v>20897</v>
      </c>
      <c r="J216" s="18">
        <v>8359</v>
      </c>
      <c r="K216" s="18">
        <v>625</v>
      </c>
      <c r="L216" s="19">
        <f>SUM(F216:K216)</f>
        <v>2397655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131854</v>
      </c>
      <c r="G218" s="18">
        <v>34934</v>
      </c>
      <c r="H218" s="18">
        <v>24202</v>
      </c>
      <c r="I218" s="18">
        <v>3871</v>
      </c>
      <c r="J218" s="18">
        <v>102</v>
      </c>
      <c r="K218" s="18">
        <v>3207</v>
      </c>
      <c r="L218" s="19">
        <f>SUM(F218:K218)</f>
        <v>198170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296850</v>
      </c>
      <c r="G220" s="18">
        <v>157163</v>
      </c>
      <c r="H220" s="18">
        <v>5425</v>
      </c>
      <c r="I220" s="18">
        <v>11502</v>
      </c>
      <c r="J220" s="18"/>
      <c r="K220" s="18"/>
      <c r="L220" s="19">
        <f t="shared" ref="L220:L226" si="2">SUM(F220:K220)</f>
        <v>470940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115221</v>
      </c>
      <c r="G221" s="18">
        <v>53678</v>
      </c>
      <c r="H221" s="18">
        <v>13864</v>
      </c>
      <c r="I221" s="18">
        <v>19602</v>
      </c>
      <c r="J221" s="18">
        <v>2297</v>
      </c>
      <c r="K221" s="18"/>
      <c r="L221" s="19">
        <f t="shared" si="2"/>
        <v>204662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6867</v>
      </c>
      <c r="G222" s="18">
        <v>761</v>
      </c>
      <c r="H222" s="18">
        <v>418481</v>
      </c>
      <c r="I222" s="18"/>
      <c r="J222" s="18"/>
      <c r="K222" s="18"/>
      <c r="L222" s="19">
        <f t="shared" si="2"/>
        <v>426109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420488</v>
      </c>
      <c r="G223" s="18">
        <v>255594</v>
      </c>
      <c r="H223" s="18">
        <v>24911</v>
      </c>
      <c r="I223" s="18">
        <v>966</v>
      </c>
      <c r="J223" s="18"/>
      <c r="K223" s="18">
        <v>6098</v>
      </c>
      <c r="L223" s="19">
        <f t="shared" si="2"/>
        <v>708057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294821</v>
      </c>
      <c r="G225" s="18">
        <v>181494</v>
      </c>
      <c r="H225" s="18">
        <v>306915</v>
      </c>
      <c r="I225" s="18">
        <v>166942</v>
      </c>
      <c r="J225" s="18">
        <v>43212</v>
      </c>
      <c r="K225" s="18"/>
      <c r="L225" s="19">
        <f t="shared" si="2"/>
        <v>993384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513783</v>
      </c>
      <c r="I226" s="18"/>
      <c r="J226" s="18"/>
      <c r="K226" s="18"/>
      <c r="L226" s="19">
        <f t="shared" si="2"/>
        <v>513783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>
        <v>2998</v>
      </c>
      <c r="H227" s="18">
        <v>1550</v>
      </c>
      <c r="I227" s="18"/>
      <c r="J227" s="18"/>
      <c r="K227" s="18"/>
      <c r="L227" s="19">
        <f>SUM(F227:K227)</f>
        <v>4548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5560708</v>
      </c>
      <c r="G229" s="41">
        <f>SUM(G215:G228)</f>
        <v>2962549</v>
      </c>
      <c r="H229" s="41">
        <f>SUM(H215:H228)</f>
        <v>1734560</v>
      </c>
      <c r="I229" s="41">
        <f>SUM(I215:I228)</f>
        <v>321480</v>
      </c>
      <c r="J229" s="41">
        <f>SUM(J215:J228)</f>
        <v>129581</v>
      </c>
      <c r="K229" s="41">
        <f t="shared" si="3"/>
        <v>10416</v>
      </c>
      <c r="L229" s="41">
        <f t="shared" si="3"/>
        <v>10719294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3959919</v>
      </c>
      <c r="G233" s="18">
        <v>2145149</v>
      </c>
      <c r="H233" s="18">
        <v>112202</v>
      </c>
      <c r="I233" s="18">
        <v>189869</v>
      </c>
      <c r="J233" s="18">
        <v>135376</v>
      </c>
      <c r="K233" s="18">
        <v>1189</v>
      </c>
      <c r="L233" s="19">
        <f>SUM(F233:K233)</f>
        <v>6543704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1225424</v>
      </c>
      <c r="G234" s="18">
        <v>810215</v>
      </c>
      <c r="H234" s="18">
        <v>350057</v>
      </c>
      <c r="I234" s="18">
        <v>16859</v>
      </c>
      <c r="J234" s="18">
        <v>5709</v>
      </c>
      <c r="K234" s="18">
        <v>625</v>
      </c>
      <c r="L234" s="19">
        <f>SUM(F234:K234)</f>
        <v>2408889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132069</v>
      </c>
      <c r="I235" s="18"/>
      <c r="J235" s="18"/>
      <c r="K235" s="18"/>
      <c r="L235" s="19">
        <f>SUM(F235:K235)</f>
        <v>132069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197782</v>
      </c>
      <c r="G236" s="18">
        <v>52400</v>
      </c>
      <c r="H236" s="18">
        <v>126817</v>
      </c>
      <c r="I236" s="18">
        <v>29521</v>
      </c>
      <c r="J236" s="18">
        <v>5882</v>
      </c>
      <c r="K236" s="18">
        <v>17896</v>
      </c>
      <c r="L236" s="19">
        <f>SUM(F236:K236)</f>
        <v>430298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631055</v>
      </c>
      <c r="G238" s="18">
        <v>308565</v>
      </c>
      <c r="H238" s="18">
        <v>7599</v>
      </c>
      <c r="I238" s="18">
        <v>25004</v>
      </c>
      <c r="J238" s="18">
        <v>2504</v>
      </c>
      <c r="K238" s="18">
        <v>825</v>
      </c>
      <c r="L238" s="19">
        <f t="shared" ref="L238:L244" si="4">SUM(F238:K238)</f>
        <v>975552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103649</v>
      </c>
      <c r="G239" s="18">
        <v>66988</v>
      </c>
      <c r="H239" s="18">
        <v>59332</v>
      </c>
      <c r="I239" s="18">
        <v>43843</v>
      </c>
      <c r="J239" s="18">
        <v>3100</v>
      </c>
      <c r="K239" s="18"/>
      <c r="L239" s="19">
        <f t="shared" si="4"/>
        <v>276912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8383</v>
      </c>
      <c r="G240" s="18">
        <v>911</v>
      </c>
      <c r="H240" s="18">
        <v>510762</v>
      </c>
      <c r="I240" s="18"/>
      <c r="J240" s="18"/>
      <c r="K240" s="18"/>
      <c r="L240" s="19">
        <f t="shared" si="4"/>
        <v>520056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443398</v>
      </c>
      <c r="G241" s="18">
        <v>256182</v>
      </c>
      <c r="H241" s="18">
        <v>48423</v>
      </c>
      <c r="I241" s="18">
        <v>4636</v>
      </c>
      <c r="J241" s="18"/>
      <c r="K241" s="18">
        <v>21469</v>
      </c>
      <c r="L241" s="19">
        <f t="shared" si="4"/>
        <v>774108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375701</v>
      </c>
      <c r="G243" s="18">
        <v>203086</v>
      </c>
      <c r="H243" s="18">
        <v>334319</v>
      </c>
      <c r="I243" s="18">
        <v>349253</v>
      </c>
      <c r="J243" s="18">
        <v>71143</v>
      </c>
      <c r="K243" s="18"/>
      <c r="L243" s="19">
        <f t="shared" si="4"/>
        <v>1333502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716509</v>
      </c>
      <c r="I244" s="18"/>
      <c r="J244" s="18"/>
      <c r="K244" s="18"/>
      <c r="L244" s="19">
        <f t="shared" si="4"/>
        <v>716509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3659</v>
      </c>
      <c r="H245" s="18"/>
      <c r="I245" s="18"/>
      <c r="J245" s="18"/>
      <c r="K245" s="18"/>
      <c r="L245" s="19">
        <f>SUM(F245:K245)</f>
        <v>3659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6945311</v>
      </c>
      <c r="G247" s="41">
        <f t="shared" si="5"/>
        <v>3847155</v>
      </c>
      <c r="H247" s="41">
        <f t="shared" si="5"/>
        <v>2398089</v>
      </c>
      <c r="I247" s="41">
        <f t="shared" si="5"/>
        <v>658985</v>
      </c>
      <c r="J247" s="41">
        <f t="shared" si="5"/>
        <v>223714</v>
      </c>
      <c r="K247" s="41">
        <f t="shared" si="5"/>
        <v>42004</v>
      </c>
      <c r="L247" s="41">
        <f t="shared" si="5"/>
        <v>14115258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62751</v>
      </c>
      <c r="G251" s="18">
        <v>9022</v>
      </c>
      <c r="H251" s="18">
        <v>116</v>
      </c>
      <c r="I251" s="18">
        <v>633</v>
      </c>
      <c r="J251" s="18">
        <v>402</v>
      </c>
      <c r="K251" s="18">
        <v>387</v>
      </c>
      <c r="L251" s="19">
        <f t="shared" si="6"/>
        <v>73311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174179</v>
      </c>
      <c r="L255" s="19">
        <f t="shared" si="6"/>
        <v>174179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62751</v>
      </c>
      <c r="G256" s="41">
        <f t="shared" si="7"/>
        <v>9022</v>
      </c>
      <c r="H256" s="41">
        <f t="shared" si="7"/>
        <v>116</v>
      </c>
      <c r="I256" s="41">
        <f t="shared" si="7"/>
        <v>633</v>
      </c>
      <c r="J256" s="41">
        <f t="shared" si="7"/>
        <v>402</v>
      </c>
      <c r="K256" s="41">
        <f t="shared" si="7"/>
        <v>174566</v>
      </c>
      <c r="L256" s="41">
        <f>SUM(F256:K256)</f>
        <v>247490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17924880</v>
      </c>
      <c r="G257" s="41">
        <f t="shared" si="8"/>
        <v>9439923</v>
      </c>
      <c r="H257" s="41">
        <f t="shared" si="8"/>
        <v>6431559</v>
      </c>
      <c r="I257" s="41">
        <f t="shared" si="8"/>
        <v>1360219</v>
      </c>
      <c r="J257" s="41">
        <f t="shared" si="8"/>
        <v>462605</v>
      </c>
      <c r="K257" s="41">
        <f t="shared" si="8"/>
        <v>233992</v>
      </c>
      <c r="L257" s="41">
        <f t="shared" si="8"/>
        <v>35853178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620000</v>
      </c>
      <c r="L260" s="19">
        <f>SUM(F260:K260)</f>
        <v>620000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162300</v>
      </c>
      <c r="L261" s="19">
        <f>SUM(F261:K261)</f>
        <v>162300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204</v>
      </c>
      <c r="L263" s="19">
        <f>SUM(F263:K263)</f>
        <v>204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300000</v>
      </c>
      <c r="L266" s="19">
        <f t="shared" si="9"/>
        <v>300000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1082504</v>
      </c>
      <c r="L270" s="41">
        <f t="shared" si="9"/>
        <v>1082504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17924880</v>
      </c>
      <c r="G271" s="42">
        <f t="shared" si="11"/>
        <v>9439923</v>
      </c>
      <c r="H271" s="42">
        <f t="shared" si="11"/>
        <v>6431559</v>
      </c>
      <c r="I271" s="42">
        <f t="shared" si="11"/>
        <v>1360219</v>
      </c>
      <c r="J271" s="42">
        <f t="shared" si="11"/>
        <v>462605</v>
      </c>
      <c r="K271" s="42">
        <f t="shared" si="11"/>
        <v>1316496</v>
      </c>
      <c r="L271" s="42">
        <f t="shared" si="11"/>
        <v>36935682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190962</v>
      </c>
      <c r="G276" s="18">
        <v>85534</v>
      </c>
      <c r="H276" s="18">
        <v>250</v>
      </c>
      <c r="I276" s="18">
        <v>19424</v>
      </c>
      <c r="J276" s="18">
        <v>28350</v>
      </c>
      <c r="K276" s="18"/>
      <c r="L276" s="19">
        <f>SUM(F276:K276)</f>
        <v>324520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83145</v>
      </c>
      <c r="G277" s="18">
        <v>33169</v>
      </c>
      <c r="H277" s="18"/>
      <c r="I277" s="18"/>
      <c r="J277" s="18"/>
      <c r="K277" s="18"/>
      <c r="L277" s="19">
        <f>SUM(F277:K277)</f>
        <v>116314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20449</v>
      </c>
      <c r="G282" s="18">
        <v>4031</v>
      </c>
      <c r="H282" s="18">
        <v>9850</v>
      </c>
      <c r="I282" s="18"/>
      <c r="J282" s="18"/>
      <c r="K282" s="18"/>
      <c r="L282" s="19">
        <f t="shared" si="12"/>
        <v>34330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3636</v>
      </c>
      <c r="L285" s="19">
        <f t="shared" si="12"/>
        <v>3636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-1129</v>
      </c>
      <c r="K286" s="18"/>
      <c r="L286" s="19">
        <f t="shared" si="12"/>
        <v>-1129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545</v>
      </c>
      <c r="I287" s="18"/>
      <c r="J287" s="18"/>
      <c r="K287" s="18"/>
      <c r="L287" s="19">
        <f t="shared" si="12"/>
        <v>545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294556</v>
      </c>
      <c r="G290" s="42">
        <f t="shared" si="13"/>
        <v>122734</v>
      </c>
      <c r="H290" s="42">
        <f t="shared" si="13"/>
        <v>10645</v>
      </c>
      <c r="I290" s="42">
        <f t="shared" si="13"/>
        <v>19424</v>
      </c>
      <c r="J290" s="42">
        <f t="shared" si="13"/>
        <v>27221</v>
      </c>
      <c r="K290" s="42">
        <f t="shared" si="13"/>
        <v>3636</v>
      </c>
      <c r="L290" s="41">
        <f t="shared" si="13"/>
        <v>478216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33091</v>
      </c>
      <c r="G295" s="18">
        <v>7467</v>
      </c>
      <c r="H295" s="18"/>
      <c r="I295" s="18"/>
      <c r="J295" s="18"/>
      <c r="K295" s="18"/>
      <c r="L295" s="19">
        <f>SUM(F295:K295)</f>
        <v>40558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157078</v>
      </c>
      <c r="G296" s="18">
        <v>88904</v>
      </c>
      <c r="H296" s="18"/>
      <c r="I296" s="18"/>
      <c r="J296" s="18"/>
      <c r="K296" s="18"/>
      <c r="L296" s="19">
        <f>SUM(F296:K296)</f>
        <v>245982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3833</v>
      </c>
      <c r="L304" s="19">
        <f t="shared" si="14"/>
        <v>3833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370</v>
      </c>
      <c r="I305" s="18"/>
      <c r="J305" s="18">
        <v>-565</v>
      </c>
      <c r="K305" s="18"/>
      <c r="L305" s="19">
        <f t="shared" si="14"/>
        <v>-195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272</v>
      </c>
      <c r="I306" s="18"/>
      <c r="J306" s="18"/>
      <c r="K306" s="18"/>
      <c r="L306" s="19">
        <f t="shared" si="14"/>
        <v>272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190169</v>
      </c>
      <c r="G309" s="42">
        <f t="shared" si="15"/>
        <v>96371</v>
      </c>
      <c r="H309" s="42">
        <f t="shared" si="15"/>
        <v>642</v>
      </c>
      <c r="I309" s="42">
        <f t="shared" si="15"/>
        <v>0</v>
      </c>
      <c r="J309" s="42">
        <f t="shared" si="15"/>
        <v>-565</v>
      </c>
      <c r="K309" s="42">
        <f t="shared" si="15"/>
        <v>3833</v>
      </c>
      <c r="L309" s="41">
        <f t="shared" si="15"/>
        <v>290450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74908</v>
      </c>
      <c r="G314" s="18">
        <v>44108</v>
      </c>
      <c r="H314" s="18"/>
      <c r="I314" s="18">
        <v>198</v>
      </c>
      <c r="J314" s="18"/>
      <c r="K314" s="18"/>
      <c r="L314" s="19">
        <f>SUM(F314:K314)</f>
        <v>119214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93741</v>
      </c>
      <c r="G315" s="18">
        <v>34741</v>
      </c>
      <c r="H315" s="18"/>
      <c r="I315" s="18"/>
      <c r="J315" s="18"/>
      <c r="K315" s="18"/>
      <c r="L315" s="19">
        <f>SUM(F315:K315)</f>
        <v>128482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16077</v>
      </c>
      <c r="G317" s="18">
        <v>2875</v>
      </c>
      <c r="H317" s="18"/>
      <c r="I317" s="18"/>
      <c r="J317" s="18"/>
      <c r="K317" s="18"/>
      <c r="L317" s="19">
        <f>SUM(F317:K317)</f>
        <v>18952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4679</v>
      </c>
      <c r="L323" s="19">
        <f t="shared" si="16"/>
        <v>4679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243</v>
      </c>
      <c r="I324" s="18"/>
      <c r="J324" s="18">
        <v>-565</v>
      </c>
      <c r="K324" s="18"/>
      <c r="L324" s="19">
        <f t="shared" si="16"/>
        <v>-322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272</v>
      </c>
      <c r="I325" s="18"/>
      <c r="J325" s="18"/>
      <c r="K325" s="18"/>
      <c r="L325" s="19">
        <f t="shared" si="16"/>
        <v>272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184726</v>
      </c>
      <c r="G328" s="42">
        <f t="shared" si="17"/>
        <v>81724</v>
      </c>
      <c r="H328" s="42">
        <f t="shared" si="17"/>
        <v>515</v>
      </c>
      <c r="I328" s="42">
        <f t="shared" si="17"/>
        <v>198</v>
      </c>
      <c r="J328" s="42">
        <f t="shared" si="17"/>
        <v>-565</v>
      </c>
      <c r="K328" s="42">
        <f t="shared" si="17"/>
        <v>4679</v>
      </c>
      <c r="L328" s="41">
        <f t="shared" si="17"/>
        <v>271277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8238</v>
      </c>
      <c r="G333" s="18">
        <v>805</v>
      </c>
      <c r="H333" s="18">
        <v>3224</v>
      </c>
      <c r="I333" s="18">
        <v>450</v>
      </c>
      <c r="J333" s="18">
        <v>53928</v>
      </c>
      <c r="K333" s="18">
        <v>1124</v>
      </c>
      <c r="L333" s="19">
        <f t="shared" si="18"/>
        <v>67769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29580</v>
      </c>
      <c r="G335" s="18">
        <v>5605</v>
      </c>
      <c r="H335" s="18">
        <v>600</v>
      </c>
      <c r="I335" s="18"/>
      <c r="J335" s="18"/>
      <c r="K335" s="18"/>
      <c r="L335" s="19">
        <f t="shared" si="18"/>
        <v>35785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37818</v>
      </c>
      <c r="G337" s="41">
        <f t="shared" si="19"/>
        <v>6410</v>
      </c>
      <c r="H337" s="41">
        <f t="shared" si="19"/>
        <v>3824</v>
      </c>
      <c r="I337" s="41">
        <f t="shared" si="19"/>
        <v>450</v>
      </c>
      <c r="J337" s="41">
        <f t="shared" si="19"/>
        <v>53928</v>
      </c>
      <c r="K337" s="41">
        <f t="shared" si="19"/>
        <v>1124</v>
      </c>
      <c r="L337" s="41">
        <f t="shared" si="18"/>
        <v>103554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707269</v>
      </c>
      <c r="G338" s="41">
        <f t="shared" si="20"/>
        <v>307239</v>
      </c>
      <c r="H338" s="41">
        <f t="shared" si="20"/>
        <v>15626</v>
      </c>
      <c r="I338" s="41">
        <f t="shared" si="20"/>
        <v>20072</v>
      </c>
      <c r="J338" s="41">
        <f t="shared" si="20"/>
        <v>80019</v>
      </c>
      <c r="K338" s="41">
        <f t="shared" si="20"/>
        <v>13272</v>
      </c>
      <c r="L338" s="41">
        <f t="shared" si="20"/>
        <v>1143497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92</v>
      </c>
      <c r="L344" s="19">
        <f t="shared" ref="L344:L350" si="21">SUM(F344:K344)</f>
        <v>92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92</v>
      </c>
      <c r="L351" s="41">
        <f>SUM(L341:L350)</f>
        <v>92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707269</v>
      </c>
      <c r="G352" s="41">
        <f>G338</f>
        <v>307239</v>
      </c>
      <c r="H352" s="41">
        <f>H338</f>
        <v>15626</v>
      </c>
      <c r="I352" s="41">
        <f>I338</f>
        <v>20072</v>
      </c>
      <c r="J352" s="41">
        <f>J338</f>
        <v>80019</v>
      </c>
      <c r="K352" s="47">
        <f>K338+K351</f>
        <v>13364</v>
      </c>
      <c r="L352" s="41">
        <f>L338+L351</f>
        <v>1143589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106020</v>
      </c>
      <c r="G358" s="18">
        <v>33188</v>
      </c>
      <c r="H358" s="18">
        <v>15184</v>
      </c>
      <c r="I358" s="18">
        <v>84394</v>
      </c>
      <c r="J358" s="18">
        <v>7387</v>
      </c>
      <c r="K358" s="18">
        <v>1396</v>
      </c>
      <c r="L358" s="13">
        <f>SUM(F358:K358)</f>
        <v>247569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117205</v>
      </c>
      <c r="G359" s="18">
        <v>66176</v>
      </c>
      <c r="H359" s="18">
        <v>11283</v>
      </c>
      <c r="I359" s="18">
        <v>159002</v>
      </c>
      <c r="J359" s="18">
        <v>646</v>
      </c>
      <c r="K359" s="18">
        <v>1469</v>
      </c>
      <c r="L359" s="19">
        <f>SUM(F359:K359)</f>
        <v>355781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118358</v>
      </c>
      <c r="G360" s="18">
        <v>56050</v>
      </c>
      <c r="H360" s="18">
        <v>12824</v>
      </c>
      <c r="I360" s="18">
        <v>220220</v>
      </c>
      <c r="J360" s="18">
        <v>557</v>
      </c>
      <c r="K360" s="18">
        <v>1859</v>
      </c>
      <c r="L360" s="19">
        <f>SUM(F360:K360)</f>
        <v>409868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341583</v>
      </c>
      <c r="G362" s="47">
        <f t="shared" si="22"/>
        <v>155414</v>
      </c>
      <c r="H362" s="47">
        <f t="shared" si="22"/>
        <v>39291</v>
      </c>
      <c r="I362" s="47">
        <f t="shared" si="22"/>
        <v>463616</v>
      </c>
      <c r="J362" s="47">
        <f t="shared" si="22"/>
        <v>8590</v>
      </c>
      <c r="K362" s="47">
        <f t="shared" si="22"/>
        <v>4724</v>
      </c>
      <c r="L362" s="47">
        <f t="shared" si="22"/>
        <v>1013218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75238</v>
      </c>
      <c r="G367" s="18">
        <v>144348</v>
      </c>
      <c r="H367" s="18">
        <v>203765</v>
      </c>
      <c r="I367" s="56">
        <f>SUM(F367:H367)</f>
        <v>423351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9156</v>
      </c>
      <c r="G368" s="63">
        <v>14654</v>
      </c>
      <c r="H368" s="63">
        <v>16455</v>
      </c>
      <c r="I368" s="56">
        <f>SUM(F368:H368)</f>
        <v>40265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84394</v>
      </c>
      <c r="G369" s="47">
        <f>SUM(G367:G368)</f>
        <v>159002</v>
      </c>
      <c r="H369" s="47">
        <f>SUM(H367:H368)</f>
        <v>220220</v>
      </c>
      <c r="I369" s="47">
        <f>SUM(I367:I368)</f>
        <v>463616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300000</v>
      </c>
      <c r="H400" s="18"/>
      <c r="I400" s="18"/>
      <c r="J400" s="24" t="s">
        <v>289</v>
      </c>
      <c r="K400" s="24" t="s">
        <v>289</v>
      </c>
      <c r="L400" s="56">
        <f t="shared" si="26"/>
        <v>300000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300000</v>
      </c>
      <c r="H441" s="18"/>
      <c r="I441" s="56">
        <f t="shared" si="33"/>
        <v>300000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263801</v>
      </c>
      <c r="G445" s="18">
        <v>586635</v>
      </c>
      <c r="H445" s="18"/>
      <c r="I445" s="56">
        <f t="shared" si="33"/>
        <v>850436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263801</v>
      </c>
      <c r="G446" s="13">
        <f>SUM(G439:G445)</f>
        <v>886635</v>
      </c>
      <c r="H446" s="13">
        <f>SUM(H439:H445)</f>
        <v>0</v>
      </c>
      <c r="I446" s="13">
        <f>SUM(I439:I445)</f>
        <v>1150436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263801</v>
      </c>
      <c r="G459" s="18">
        <v>886635</v>
      </c>
      <c r="H459" s="18"/>
      <c r="I459" s="56">
        <f t="shared" si="34"/>
        <v>1150436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263801</v>
      </c>
      <c r="G460" s="83">
        <f>SUM(G454:G459)</f>
        <v>886635</v>
      </c>
      <c r="H460" s="83">
        <f>SUM(H454:H459)</f>
        <v>0</v>
      </c>
      <c r="I460" s="83">
        <f>SUM(I454:I459)</f>
        <v>1150436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263801</v>
      </c>
      <c r="G461" s="42">
        <f>G452+G460</f>
        <v>886635</v>
      </c>
      <c r="H461" s="42">
        <f>H452+H460</f>
        <v>0</v>
      </c>
      <c r="I461" s="42">
        <f>I452+I460</f>
        <v>1150436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4693630</v>
      </c>
      <c r="G465" s="18">
        <v>208047</v>
      </c>
      <c r="H465" s="18">
        <v>49008</v>
      </c>
      <c r="I465" s="18"/>
      <c r="J465" s="18">
        <v>850436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36890646</v>
      </c>
      <c r="G468" s="18">
        <v>1021342</v>
      </c>
      <c r="H468" s="18">
        <v>1094581</v>
      </c>
      <c r="I468" s="18"/>
      <c r="J468" s="18">
        <v>300000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36890646</v>
      </c>
      <c r="G470" s="53">
        <f>SUM(G468:G469)</f>
        <v>1021342</v>
      </c>
      <c r="H470" s="53">
        <f>SUM(H468:H469)</f>
        <v>1094581</v>
      </c>
      <c r="I470" s="53">
        <f>SUM(I468:I469)</f>
        <v>0</v>
      </c>
      <c r="J470" s="53">
        <f>SUM(J468:J469)</f>
        <v>300000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36935682</v>
      </c>
      <c r="G472" s="18">
        <v>1013218</v>
      </c>
      <c r="H472" s="18">
        <v>1143589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36935682</v>
      </c>
      <c r="G474" s="53">
        <f>SUM(G472:G473)</f>
        <v>1013218</v>
      </c>
      <c r="H474" s="53">
        <f>SUM(H472:H473)</f>
        <v>1143589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4648594</v>
      </c>
      <c r="G476" s="53">
        <f>(G465+G470)- G474</f>
        <v>216171</v>
      </c>
      <c r="H476" s="53">
        <f>(H465+H470)- H474</f>
        <v>0</v>
      </c>
      <c r="I476" s="53">
        <f>(I465+I470)- I474</f>
        <v>0</v>
      </c>
      <c r="J476" s="53">
        <f>(J465+J470)- J474</f>
        <v>1150436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6015000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4100000</v>
      </c>
      <c r="G495" s="18"/>
      <c r="H495" s="18"/>
      <c r="I495" s="18"/>
      <c r="J495" s="18"/>
      <c r="K495" s="53">
        <f>SUM(F495:J495)</f>
        <v>4100000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620000</v>
      </c>
      <c r="G497" s="18"/>
      <c r="H497" s="18"/>
      <c r="I497" s="18"/>
      <c r="J497" s="18"/>
      <c r="K497" s="53">
        <f t="shared" si="35"/>
        <v>620000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3480000</v>
      </c>
      <c r="G498" s="204"/>
      <c r="H498" s="204"/>
      <c r="I498" s="204"/>
      <c r="J498" s="204"/>
      <c r="K498" s="205">
        <f t="shared" si="35"/>
        <v>3480000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575181</v>
      </c>
      <c r="G499" s="18"/>
      <c r="H499" s="18"/>
      <c r="I499" s="18"/>
      <c r="J499" s="18"/>
      <c r="K499" s="53">
        <f t="shared" si="35"/>
        <v>575181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4055181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4055181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615000</v>
      </c>
      <c r="G501" s="204"/>
      <c r="H501" s="204"/>
      <c r="I501" s="204"/>
      <c r="J501" s="204"/>
      <c r="K501" s="205">
        <f t="shared" si="35"/>
        <v>615000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138700</v>
      </c>
      <c r="G502" s="18"/>
      <c r="H502" s="18"/>
      <c r="I502" s="18"/>
      <c r="J502" s="18"/>
      <c r="K502" s="53">
        <f t="shared" si="35"/>
        <v>138700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753700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753700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1156963</v>
      </c>
      <c r="G521" s="18">
        <v>651945</v>
      </c>
      <c r="H521" s="18">
        <v>529007</v>
      </c>
      <c r="I521" s="18">
        <v>18120</v>
      </c>
      <c r="J521" s="18">
        <v>1706</v>
      </c>
      <c r="K521" s="18"/>
      <c r="L521" s="88">
        <f>SUM(F521:K521)</f>
        <v>2357741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1311658</v>
      </c>
      <c r="G522" s="18">
        <v>825457</v>
      </c>
      <c r="H522" s="18">
        <v>265122</v>
      </c>
      <c r="I522" s="18">
        <v>18454</v>
      </c>
      <c r="J522" s="18">
        <v>8359</v>
      </c>
      <c r="K522" s="18"/>
      <c r="L522" s="88">
        <f>SUM(F522:K522)</f>
        <v>2429050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1148633</v>
      </c>
      <c r="G523" s="18">
        <v>808115</v>
      </c>
      <c r="H523" s="18">
        <v>264157</v>
      </c>
      <c r="I523" s="18">
        <v>14416</v>
      </c>
      <c r="J523" s="18">
        <v>5709</v>
      </c>
      <c r="K523" s="18"/>
      <c r="L523" s="88">
        <f>SUM(F523:K523)</f>
        <v>2241030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3617254</v>
      </c>
      <c r="G524" s="108">
        <f t="shared" ref="G524:L524" si="36">SUM(G521:G523)</f>
        <v>2285517</v>
      </c>
      <c r="H524" s="108">
        <f t="shared" si="36"/>
        <v>1058286</v>
      </c>
      <c r="I524" s="108">
        <f t="shared" si="36"/>
        <v>50990</v>
      </c>
      <c r="J524" s="108">
        <f t="shared" si="36"/>
        <v>15774</v>
      </c>
      <c r="K524" s="108">
        <f t="shared" si="36"/>
        <v>0</v>
      </c>
      <c r="L524" s="89">
        <f t="shared" si="36"/>
        <v>7027821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144268</v>
      </c>
      <c r="G526" s="18">
        <v>59607</v>
      </c>
      <c r="H526" s="18"/>
      <c r="I526" s="18"/>
      <c r="J526" s="18"/>
      <c r="K526" s="18"/>
      <c r="L526" s="88">
        <f>SUM(F526:K526)</f>
        <v>203875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78978</v>
      </c>
      <c r="G527" s="18">
        <v>33556</v>
      </c>
      <c r="H527" s="18"/>
      <c r="I527" s="18"/>
      <c r="J527" s="18"/>
      <c r="K527" s="18"/>
      <c r="L527" s="88">
        <f>SUM(F527:K527)</f>
        <v>112534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68303</v>
      </c>
      <c r="G528" s="18">
        <v>13632</v>
      </c>
      <c r="H528" s="18"/>
      <c r="I528" s="18"/>
      <c r="J528" s="18"/>
      <c r="K528" s="18"/>
      <c r="L528" s="88">
        <f>SUM(F528:K528)</f>
        <v>81935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291549</v>
      </c>
      <c r="G529" s="89">
        <f t="shared" ref="G529:L529" si="37">SUM(G526:G528)</f>
        <v>106795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398344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25452</v>
      </c>
      <c r="G531" s="18">
        <v>9665</v>
      </c>
      <c r="H531" s="18"/>
      <c r="I531" s="18"/>
      <c r="J531" s="18"/>
      <c r="K531" s="18"/>
      <c r="L531" s="88">
        <f>SUM(F531:K531)</f>
        <v>35117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27692</v>
      </c>
      <c r="G532" s="18">
        <v>7506</v>
      </c>
      <c r="H532" s="18"/>
      <c r="I532" s="18"/>
      <c r="J532" s="18"/>
      <c r="K532" s="18"/>
      <c r="L532" s="88">
        <f>SUM(F532:K532)</f>
        <v>35198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27739</v>
      </c>
      <c r="G533" s="18">
        <v>8643</v>
      </c>
      <c r="H533" s="18"/>
      <c r="I533" s="18"/>
      <c r="J533" s="18"/>
      <c r="K533" s="18"/>
      <c r="L533" s="88">
        <f>SUM(F533:K533)</f>
        <v>36382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80883</v>
      </c>
      <c r="G534" s="89">
        <f t="shared" ref="G534:L534" si="38">SUM(G531:G533)</f>
        <v>25814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106697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5452</v>
      </c>
      <c r="I538" s="18"/>
      <c r="J538" s="18"/>
      <c r="K538" s="18"/>
      <c r="L538" s="88">
        <f>SUM(F538:K538)</f>
        <v>5452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5452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5452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257487</v>
      </c>
      <c r="I541" s="18"/>
      <c r="J541" s="18"/>
      <c r="K541" s="18"/>
      <c r="L541" s="88">
        <f>SUM(F541:K541)</f>
        <v>257487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128744</v>
      </c>
      <c r="I542" s="18"/>
      <c r="J542" s="18"/>
      <c r="K542" s="18"/>
      <c r="L542" s="88">
        <f>SUM(F542:K542)</f>
        <v>128744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130744</v>
      </c>
      <c r="I543" s="18"/>
      <c r="J543" s="18"/>
      <c r="K543" s="18"/>
      <c r="L543" s="88">
        <f>SUM(F543:K543)</f>
        <v>130744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516975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516975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3989686</v>
      </c>
      <c r="G545" s="89">
        <f t="shared" ref="G545:L545" si="41">G524+G529+G534+G539+G544</f>
        <v>2418126</v>
      </c>
      <c r="H545" s="89">
        <f t="shared" si="41"/>
        <v>1580713</v>
      </c>
      <c r="I545" s="89">
        <f t="shared" si="41"/>
        <v>50990</v>
      </c>
      <c r="J545" s="89">
        <f t="shared" si="41"/>
        <v>15774</v>
      </c>
      <c r="K545" s="89">
        <f t="shared" si="41"/>
        <v>0</v>
      </c>
      <c r="L545" s="89">
        <f t="shared" si="41"/>
        <v>8055289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2357741</v>
      </c>
      <c r="G549" s="87">
        <f>L526</f>
        <v>203875</v>
      </c>
      <c r="H549" s="87">
        <f>L531</f>
        <v>35117</v>
      </c>
      <c r="I549" s="87">
        <f>L536</f>
        <v>0</v>
      </c>
      <c r="J549" s="87">
        <f>L541</f>
        <v>257487</v>
      </c>
      <c r="K549" s="87">
        <f>SUM(F549:J549)</f>
        <v>2854220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2429050</v>
      </c>
      <c r="G550" s="87">
        <f>L527</f>
        <v>112534</v>
      </c>
      <c r="H550" s="87">
        <f>L532</f>
        <v>35198</v>
      </c>
      <c r="I550" s="87">
        <f>L537</f>
        <v>0</v>
      </c>
      <c r="J550" s="87">
        <f>L542</f>
        <v>128744</v>
      </c>
      <c r="K550" s="87">
        <f>SUM(F550:J550)</f>
        <v>2705526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2241030</v>
      </c>
      <c r="G551" s="87">
        <f>L528</f>
        <v>81935</v>
      </c>
      <c r="H551" s="87">
        <f>L533</f>
        <v>36382</v>
      </c>
      <c r="I551" s="87">
        <f>L538</f>
        <v>5452</v>
      </c>
      <c r="J551" s="87">
        <f>L543</f>
        <v>130744</v>
      </c>
      <c r="K551" s="87">
        <f>SUM(F551:J551)</f>
        <v>2495543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7027821</v>
      </c>
      <c r="G552" s="89">
        <f t="shared" si="42"/>
        <v>398344</v>
      </c>
      <c r="H552" s="89">
        <f t="shared" si="42"/>
        <v>106697</v>
      </c>
      <c r="I552" s="89">
        <f t="shared" si="42"/>
        <v>5452</v>
      </c>
      <c r="J552" s="89">
        <f t="shared" si="42"/>
        <v>516975</v>
      </c>
      <c r="K552" s="89">
        <f t="shared" si="42"/>
        <v>8055289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37394</v>
      </c>
      <c r="G562" s="18">
        <v>23763</v>
      </c>
      <c r="H562" s="18">
        <v>715</v>
      </c>
      <c r="I562" s="18"/>
      <c r="J562" s="18"/>
      <c r="K562" s="18"/>
      <c r="L562" s="88">
        <f>SUM(F562:K562)</f>
        <v>61872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18697</v>
      </c>
      <c r="G563" s="18">
        <v>11882</v>
      </c>
      <c r="H563" s="18">
        <v>357</v>
      </c>
      <c r="I563" s="18"/>
      <c r="J563" s="18"/>
      <c r="K563" s="18"/>
      <c r="L563" s="88">
        <f>SUM(F563:K563)</f>
        <v>30936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18697</v>
      </c>
      <c r="G564" s="18">
        <v>11882</v>
      </c>
      <c r="H564" s="18">
        <v>357</v>
      </c>
      <c r="I564" s="18"/>
      <c r="J564" s="18"/>
      <c r="K564" s="18"/>
      <c r="L564" s="88">
        <f>SUM(F564:K564)</f>
        <v>30936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74788</v>
      </c>
      <c r="G565" s="89">
        <f t="shared" si="44"/>
        <v>47527</v>
      </c>
      <c r="H565" s="89">
        <f t="shared" si="44"/>
        <v>1429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123744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74788</v>
      </c>
      <c r="G571" s="89">
        <f t="shared" ref="G571:L571" si="46">G560+G565+G570</f>
        <v>47527</v>
      </c>
      <c r="H571" s="89">
        <f t="shared" si="46"/>
        <v>1429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123744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45734</v>
      </c>
      <c r="G579" s="18">
        <v>22867</v>
      </c>
      <c r="H579" s="18">
        <v>22867</v>
      </c>
      <c r="I579" s="87">
        <f t="shared" si="47"/>
        <v>91468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480281</v>
      </c>
      <c r="G582" s="18">
        <v>240140</v>
      </c>
      <c r="H582" s="18">
        <v>240140</v>
      </c>
      <c r="I582" s="87">
        <f t="shared" si="47"/>
        <v>960561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132069</v>
      </c>
      <c r="I584" s="87">
        <f t="shared" si="47"/>
        <v>132069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341072</v>
      </c>
      <c r="I591" s="18">
        <v>359596</v>
      </c>
      <c r="J591" s="18">
        <v>446232</v>
      </c>
      <c r="K591" s="104">
        <f t="shared" ref="K591:K597" si="48">SUM(H591:J591)</f>
        <v>1146900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257487</v>
      </c>
      <c r="I592" s="18">
        <v>128744</v>
      </c>
      <c r="J592" s="18">
        <v>130744</v>
      </c>
      <c r="K592" s="104">
        <f t="shared" si="48"/>
        <v>516975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63815</v>
      </c>
      <c r="K593" s="104">
        <f t="shared" si="48"/>
        <v>63815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18366</v>
      </c>
      <c r="J594" s="18">
        <v>63078</v>
      </c>
      <c r="K594" s="104">
        <f t="shared" si="48"/>
        <v>81444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1300</v>
      </c>
      <c r="I595" s="18">
        <v>3914</v>
      </c>
      <c r="J595" s="18">
        <v>9477</v>
      </c>
      <c r="K595" s="104">
        <f t="shared" si="48"/>
        <v>14691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12651</v>
      </c>
      <c r="I597" s="18">
        <v>3163</v>
      </c>
      <c r="J597" s="18">
        <v>3163</v>
      </c>
      <c r="K597" s="104">
        <f t="shared" si="48"/>
        <v>18977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612510</v>
      </c>
      <c r="I598" s="108">
        <f>SUM(I591:I597)</f>
        <v>513783</v>
      </c>
      <c r="J598" s="108">
        <f>SUM(J591:J597)</f>
        <v>716509</v>
      </c>
      <c r="K598" s="108">
        <f>SUM(K591:K597)</f>
        <v>1842802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136129</v>
      </c>
      <c r="I604" s="18">
        <v>129016</v>
      </c>
      <c r="J604" s="18">
        <v>277479</v>
      </c>
      <c r="K604" s="104">
        <f>SUM(H604:J604)</f>
        <v>542624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136129</v>
      </c>
      <c r="I605" s="108">
        <f>SUM(I602:I604)</f>
        <v>129016</v>
      </c>
      <c r="J605" s="108">
        <f>SUM(J602:J604)</f>
        <v>277479</v>
      </c>
      <c r="K605" s="108">
        <f>SUM(K602:K604)</f>
        <v>542624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22156</v>
      </c>
      <c r="G611" s="18">
        <v>5091</v>
      </c>
      <c r="H611" s="18"/>
      <c r="I611" s="18">
        <v>1654</v>
      </c>
      <c r="J611" s="18"/>
      <c r="K611" s="18"/>
      <c r="L611" s="88">
        <f>SUM(F611:K611)</f>
        <v>28901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22156</v>
      </c>
      <c r="G614" s="108">
        <f t="shared" si="49"/>
        <v>5091</v>
      </c>
      <c r="H614" s="108">
        <f t="shared" si="49"/>
        <v>0</v>
      </c>
      <c r="I614" s="108">
        <f t="shared" si="49"/>
        <v>1654</v>
      </c>
      <c r="J614" s="108">
        <f t="shared" si="49"/>
        <v>0</v>
      </c>
      <c r="K614" s="108">
        <f t="shared" si="49"/>
        <v>0</v>
      </c>
      <c r="L614" s="89">
        <f t="shared" si="49"/>
        <v>28901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5942186</v>
      </c>
      <c r="H617" s="109">
        <f>SUM(F52)</f>
        <v>5942186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216171</v>
      </c>
      <c r="H618" s="109">
        <f>SUM(G52)</f>
        <v>216171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25318</v>
      </c>
      <c r="H619" s="109">
        <f>SUM(H52)</f>
        <v>25318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1150436</v>
      </c>
      <c r="H621" s="109">
        <f>SUM(J52)</f>
        <v>1150436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4648594</v>
      </c>
      <c r="H622" s="109">
        <f>F476</f>
        <v>4648594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216171</v>
      </c>
      <c r="H623" s="109">
        <f>G476</f>
        <v>216171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1150436</v>
      </c>
      <c r="H626" s="109">
        <f>J476</f>
        <v>1150436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36890646</v>
      </c>
      <c r="H627" s="104">
        <f>SUM(F468)</f>
        <v>36890646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1021342</v>
      </c>
      <c r="H628" s="104">
        <f>SUM(G468)</f>
        <v>1021342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1094581</v>
      </c>
      <c r="H629" s="104">
        <f>SUM(H468)</f>
        <v>1094581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300000</v>
      </c>
      <c r="H631" s="104">
        <f>SUM(J468)</f>
        <v>300000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36935682</v>
      </c>
      <c r="H632" s="104">
        <f>SUM(F472)</f>
        <v>36935682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1143589</v>
      </c>
      <c r="H633" s="104">
        <f>SUM(H472)</f>
        <v>1143589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463616</v>
      </c>
      <c r="H634" s="104">
        <f>I369</f>
        <v>463616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1013218</v>
      </c>
      <c r="H635" s="104">
        <f>SUM(G472)</f>
        <v>1013218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300000</v>
      </c>
      <c r="H637" s="164">
        <f>SUM(J468)</f>
        <v>300000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263801</v>
      </c>
      <c r="H639" s="104">
        <f>SUM(F461)</f>
        <v>263801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886635</v>
      </c>
      <c r="H640" s="104">
        <f>SUM(G461)</f>
        <v>886635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1150436</v>
      </c>
      <c r="H642" s="104">
        <f>SUM(I461)</f>
        <v>1150436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300000</v>
      </c>
      <c r="H645" s="104">
        <f>G408</f>
        <v>300000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300000</v>
      </c>
      <c r="H646" s="104">
        <f>L408</f>
        <v>300000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1842802</v>
      </c>
      <c r="H647" s="104">
        <f>L208+L226+L244</f>
        <v>1842802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542624</v>
      </c>
      <c r="H648" s="104">
        <f>(J257+J338)-(J255+J336)</f>
        <v>542624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612510</v>
      </c>
      <c r="H649" s="104">
        <f>H598</f>
        <v>612510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513783</v>
      </c>
      <c r="H650" s="104">
        <f>I598</f>
        <v>513783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716509</v>
      </c>
      <c r="H651" s="104">
        <f>J598</f>
        <v>716509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204</v>
      </c>
      <c r="H652" s="104">
        <f>K263+K345</f>
        <v>204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300000</v>
      </c>
      <c r="H655" s="104">
        <f>K266+K347</f>
        <v>300000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11496921</v>
      </c>
      <c r="G660" s="19">
        <f>(L229+L309+L359)</f>
        <v>11365525</v>
      </c>
      <c r="H660" s="19">
        <f>(L247+L328+L360)</f>
        <v>14796403</v>
      </c>
      <c r="I660" s="19">
        <f>SUM(F660:H660)</f>
        <v>37658849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166355.98455613697</v>
      </c>
      <c r="G661" s="19">
        <f>(L359/IF(SUM(L358:L360)=0,1,SUM(L358:L360))*(SUM(G97:G110)))</f>
        <v>239069.90997001631</v>
      </c>
      <c r="H661" s="19">
        <f>(L360/IF(SUM(L358:L360)=0,1,SUM(L358:L360))*(SUM(G97:G110)))</f>
        <v>275414.10547384672</v>
      </c>
      <c r="I661" s="19">
        <f>SUM(F661:H661)</f>
        <v>680840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613055</v>
      </c>
      <c r="G662" s="19">
        <f>(L226+L306)-(J226+J306)</f>
        <v>514055</v>
      </c>
      <c r="H662" s="19">
        <f>(L244+L325)-(J244+J325)</f>
        <v>716781</v>
      </c>
      <c r="I662" s="19">
        <f>SUM(F662:H662)</f>
        <v>1843891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691045</v>
      </c>
      <c r="G663" s="199">
        <f>SUM(G575:G587)+SUM(I602:I604)+L612</f>
        <v>392023</v>
      </c>
      <c r="H663" s="199">
        <f>SUM(H575:H587)+SUM(J602:J604)+L613</f>
        <v>672555</v>
      </c>
      <c r="I663" s="19">
        <f>SUM(F663:H663)</f>
        <v>1755623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10026465.015443863</v>
      </c>
      <c r="G664" s="19">
        <f>G660-SUM(G661:G663)</f>
        <v>10220377.090029985</v>
      </c>
      <c r="H664" s="19">
        <f>H660-SUM(H661:H663)</f>
        <v>13131652.894526154</v>
      </c>
      <c r="I664" s="19">
        <f>I660-SUM(I661:I663)</f>
        <v>33378495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732.97</v>
      </c>
      <c r="G665" s="248">
        <v>886.96</v>
      </c>
      <c r="H665" s="248">
        <v>1101.9000000000001</v>
      </c>
      <c r="I665" s="19">
        <f>SUM(F665:H665)</f>
        <v>2721.83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13679.23</v>
      </c>
      <c r="G667" s="19">
        <f>ROUND(G664/G665,2)</f>
        <v>11522.93</v>
      </c>
      <c r="H667" s="19">
        <f>ROUND(H664/H665,2)</f>
        <v>11917.28</v>
      </c>
      <c r="I667" s="19">
        <f>ROUND(I664/I665,2)</f>
        <v>12263.25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-25.11</v>
      </c>
      <c r="I670" s="19">
        <f>SUM(F670:H670)</f>
        <v>-25.11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13679.23</v>
      </c>
      <c r="G672" s="19">
        <f>ROUND((G664+G669)/(G665+G670),2)</f>
        <v>11522.93</v>
      </c>
      <c r="H672" s="19">
        <f>ROUND((H664+H669)/(H665+H670),2)</f>
        <v>12195.18</v>
      </c>
      <c r="I672" s="19">
        <f>ROUND((I664+I669)/(I665+I670),2)</f>
        <v>12377.44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K40" sqref="K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Goffstown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9776938</v>
      </c>
      <c r="C9" s="229">
        <f>'DOE25'!G197+'DOE25'!G215+'DOE25'!G233+'DOE25'!G276+'DOE25'!G295+'DOE25'!G314</f>
        <v>5020899</v>
      </c>
    </row>
    <row r="10" spans="1:3" x14ac:dyDescent="0.2">
      <c r="A10" t="s">
        <v>779</v>
      </c>
      <c r="B10" s="240">
        <v>9476374</v>
      </c>
      <c r="C10" s="240">
        <v>4866546</v>
      </c>
    </row>
    <row r="11" spans="1:3" x14ac:dyDescent="0.2">
      <c r="A11" t="s">
        <v>780</v>
      </c>
      <c r="B11" s="240">
        <v>1015</v>
      </c>
      <c r="C11" s="240">
        <v>204</v>
      </c>
    </row>
    <row r="12" spans="1:3" x14ac:dyDescent="0.2">
      <c r="A12" t="s">
        <v>781</v>
      </c>
      <c r="B12" s="240">
        <f>+B9-B10-B11</f>
        <v>299549</v>
      </c>
      <c r="C12" s="240">
        <f>+C9-C10-C11</f>
        <v>154149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9776938</v>
      </c>
      <c r="C13" s="231">
        <f>SUM(C10:C12)</f>
        <v>5020899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4044268</v>
      </c>
      <c r="C18" s="229">
        <f>'DOE25'!G198+'DOE25'!G216+'DOE25'!G234+'DOE25'!G277+'DOE25'!G296+'DOE25'!G315</f>
        <v>2422036</v>
      </c>
    </row>
    <row r="19" spans="1:3" x14ac:dyDescent="0.2">
      <c r="A19" t="s">
        <v>779</v>
      </c>
      <c r="B19" s="240">
        <v>2094093</v>
      </c>
      <c r="C19" s="240">
        <v>1254114</v>
      </c>
    </row>
    <row r="20" spans="1:3" x14ac:dyDescent="0.2">
      <c r="A20" t="s">
        <v>780</v>
      </c>
      <c r="B20" s="240">
        <v>1347926</v>
      </c>
      <c r="C20" s="240">
        <v>807247</v>
      </c>
    </row>
    <row r="21" spans="1:3" x14ac:dyDescent="0.2">
      <c r="A21" t="s">
        <v>781</v>
      </c>
      <c r="B21" s="240">
        <f>+B18-B19-B20</f>
        <v>602249</v>
      </c>
      <c r="C21" s="240">
        <v>360675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4044268</v>
      </c>
      <c r="C22" s="231">
        <f>SUM(C19:C21)</f>
        <v>2422036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368469</v>
      </c>
      <c r="C36" s="235">
        <f>'DOE25'!G200+'DOE25'!G218+'DOE25'!G236+'DOE25'!G279+'DOE25'!G298+'DOE25'!G317</f>
        <v>95411</v>
      </c>
    </row>
    <row r="37" spans="1:3" x14ac:dyDescent="0.2">
      <c r="A37" t="s">
        <v>779</v>
      </c>
      <c r="B37" s="240">
        <v>22156</v>
      </c>
      <c r="C37" s="240">
        <v>5737</v>
      </c>
    </row>
    <row r="38" spans="1:3" x14ac:dyDescent="0.2">
      <c r="A38" t="s">
        <v>780</v>
      </c>
      <c r="B38" s="240">
        <v>600</v>
      </c>
      <c r="C38" s="240">
        <v>155</v>
      </c>
    </row>
    <row r="39" spans="1:3" x14ac:dyDescent="0.2">
      <c r="A39" t="s">
        <v>781</v>
      </c>
      <c r="B39" s="240">
        <f>+B36-B37-B38</f>
        <v>345713</v>
      </c>
      <c r="C39" s="240">
        <f>+C36-C37-C38</f>
        <v>89519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368469</v>
      </c>
      <c r="C40" s="231">
        <f>SUM(C37:C39)</f>
        <v>95411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Goffstown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23502300</v>
      </c>
      <c r="D5" s="20">
        <f>SUM('DOE25'!L197:L200)+SUM('DOE25'!L215:L218)+SUM('DOE25'!L233:L236)-F5-G5</f>
        <v>23226499</v>
      </c>
      <c r="E5" s="243"/>
      <c r="F5" s="255">
        <f>SUM('DOE25'!J197:J200)+SUM('DOE25'!J215:J218)+SUM('DOE25'!J233:J236)</f>
        <v>250523</v>
      </c>
      <c r="G5" s="53">
        <f>SUM('DOE25'!K197:K200)+SUM('DOE25'!K215:K218)+SUM('DOE25'!K233:K236)</f>
        <v>25278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2124066</v>
      </c>
      <c r="D6" s="20">
        <f>'DOE25'!L202+'DOE25'!L220+'DOE25'!L238-F6-G6</f>
        <v>2120737</v>
      </c>
      <c r="E6" s="243"/>
      <c r="F6" s="255">
        <f>'DOE25'!J202+'DOE25'!J220+'DOE25'!J238</f>
        <v>2504</v>
      </c>
      <c r="G6" s="53">
        <f>'DOE25'!K202+'DOE25'!K220+'DOE25'!K238</f>
        <v>825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825875</v>
      </c>
      <c r="D7" s="20">
        <f>'DOE25'!L203+'DOE25'!L221+'DOE25'!L239-F7-G7</f>
        <v>820478</v>
      </c>
      <c r="E7" s="243"/>
      <c r="F7" s="255">
        <f>'DOE25'!J203+'DOE25'!J221+'DOE25'!J239</f>
        <v>5397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670739.92680000002</v>
      </c>
      <c r="D8" s="243"/>
      <c r="E8" s="20">
        <f>'DOE25'!L204+'DOE25'!L222+'DOE25'!L240-F8-G8-D9-D11</f>
        <v>670739.92680000002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85022</v>
      </c>
      <c r="D9" s="244">
        <v>85022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594623.07319999998</v>
      </c>
      <c r="D11" s="244">
        <f>1286506*0.4622</f>
        <v>594623.07319999998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2510387</v>
      </c>
      <c r="D12" s="20">
        <f>'DOE25'!L205+'DOE25'!L223+'DOE25'!L241-F12-G12</f>
        <v>2477064</v>
      </c>
      <c r="E12" s="243"/>
      <c r="F12" s="255">
        <f>'DOE25'!J205+'DOE25'!J223+'DOE25'!J241</f>
        <v>0</v>
      </c>
      <c r="G12" s="53">
        <f>'DOE25'!K205+'DOE25'!K223+'DOE25'!K241</f>
        <v>33323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3438823</v>
      </c>
      <c r="D14" s="20">
        <f>'DOE25'!L207+'DOE25'!L225+'DOE25'!L243-F14-G14</f>
        <v>3235044</v>
      </c>
      <c r="E14" s="243"/>
      <c r="F14" s="255">
        <f>'DOE25'!J207+'DOE25'!J225+'DOE25'!J243</f>
        <v>203779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1842802</v>
      </c>
      <c r="D15" s="20">
        <f>'DOE25'!L208+'DOE25'!L226+'DOE25'!L244-F15-G15</f>
        <v>1842802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11050</v>
      </c>
      <c r="D16" s="243"/>
      <c r="E16" s="20">
        <f>'DOE25'!L209+'DOE25'!L227+'DOE25'!L245-F16-G16</f>
        <v>11050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73311</v>
      </c>
      <c r="D17" s="20">
        <f>'DOE25'!L251-F17-G17</f>
        <v>72522</v>
      </c>
      <c r="E17" s="243"/>
      <c r="F17" s="255">
        <f>'DOE25'!J251</f>
        <v>402</v>
      </c>
      <c r="G17" s="53">
        <f>'DOE25'!K251</f>
        <v>387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174179</v>
      </c>
      <c r="D22" s="243"/>
      <c r="E22" s="243"/>
      <c r="F22" s="255">
        <f>'DOE25'!L255+'DOE25'!L336</f>
        <v>174179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782300</v>
      </c>
      <c r="D25" s="243"/>
      <c r="E25" s="243"/>
      <c r="F25" s="258"/>
      <c r="G25" s="256"/>
      <c r="H25" s="257">
        <f>'DOE25'!L260+'DOE25'!L261+'DOE25'!L341+'DOE25'!L342</f>
        <v>782300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589867</v>
      </c>
      <c r="D29" s="20">
        <f>'DOE25'!L358+'DOE25'!L359+'DOE25'!L360-'DOE25'!I367-F29-G29</f>
        <v>576553</v>
      </c>
      <c r="E29" s="243"/>
      <c r="F29" s="255">
        <f>'DOE25'!J358+'DOE25'!J359+'DOE25'!J360</f>
        <v>8590</v>
      </c>
      <c r="G29" s="53">
        <f>'DOE25'!K358+'DOE25'!K359+'DOE25'!K360</f>
        <v>4724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1143497</v>
      </c>
      <c r="D31" s="20">
        <f>'DOE25'!L290+'DOE25'!L309+'DOE25'!L328+'DOE25'!L333+'DOE25'!L334+'DOE25'!L335-F31-G31</f>
        <v>1050206</v>
      </c>
      <c r="E31" s="243"/>
      <c r="F31" s="255">
        <f>'DOE25'!J290+'DOE25'!J309+'DOE25'!J328+'DOE25'!J333+'DOE25'!J334+'DOE25'!J335</f>
        <v>80019</v>
      </c>
      <c r="G31" s="53">
        <f>'DOE25'!K290+'DOE25'!K309+'DOE25'!K328+'DOE25'!K333+'DOE25'!K334+'DOE25'!K335</f>
        <v>13272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36101550.073200002</v>
      </c>
      <c r="E33" s="246">
        <f>SUM(E5:E31)</f>
        <v>687289.92680000002</v>
      </c>
      <c r="F33" s="246">
        <f>SUM(F5:F31)</f>
        <v>725393</v>
      </c>
      <c r="G33" s="246">
        <f>SUM(G5:G31)</f>
        <v>77809</v>
      </c>
      <c r="H33" s="246">
        <f>SUM(H5:H31)</f>
        <v>782300</v>
      </c>
    </row>
    <row r="35" spans="2:8" ht="12" thickBot="1" x14ac:dyDescent="0.25">
      <c r="B35" s="253" t="s">
        <v>847</v>
      </c>
      <c r="D35" s="254">
        <f>E33</f>
        <v>687289.92680000002</v>
      </c>
      <c r="E35" s="249"/>
    </row>
    <row r="36" spans="2:8" ht="12" thickTop="1" x14ac:dyDescent="0.2">
      <c r="B36" t="s">
        <v>815</v>
      </c>
      <c r="D36" s="20">
        <f>D33</f>
        <v>36101550.073200002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P46" sqref="P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5867262</v>
      </c>
      <c r="D8" s="95">
        <f>'DOE25'!G9</f>
        <v>154135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35218</v>
      </c>
      <c r="E11" s="95">
        <f>'DOE25'!H12</f>
        <v>0</v>
      </c>
      <c r="F11" s="95">
        <f>'DOE25'!I12</f>
        <v>0</v>
      </c>
      <c r="G11" s="95">
        <f>'DOE25'!J12</f>
        <v>300000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21166</v>
      </c>
      <c r="E12" s="95">
        <f>'DOE25'!H13</f>
        <v>25318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1899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13826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61098</v>
      </c>
      <c r="D16" s="95">
        <f>'DOE25'!G17</f>
        <v>3753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850436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5942186</v>
      </c>
      <c r="D18" s="41">
        <f>SUM(D8:D17)</f>
        <v>216171</v>
      </c>
      <c r="E18" s="41">
        <f>SUM(E8:E17)</f>
        <v>25318</v>
      </c>
      <c r="F18" s="41">
        <f>SUM(F8:F17)</f>
        <v>0</v>
      </c>
      <c r="G18" s="41">
        <f>SUM(G8:G17)</f>
        <v>1150436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94335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1133540</v>
      </c>
      <c r="D23" s="95">
        <f>'DOE25'!G24</f>
        <v>0</v>
      </c>
      <c r="E23" s="95">
        <f>'DOE25'!H24</f>
        <v>4528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56325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8130</v>
      </c>
      <c r="D29" s="95">
        <f>'DOE25'!G30</f>
        <v>0</v>
      </c>
      <c r="E29" s="95">
        <f>'DOE25'!H30</f>
        <v>20790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1262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1293592</v>
      </c>
      <c r="D31" s="41">
        <f>SUM(D21:D30)</f>
        <v>0</v>
      </c>
      <c r="E31" s="41">
        <f>SUM(E21:E30)</f>
        <v>25318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13826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61098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607931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548155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1753253</v>
      </c>
      <c r="D47" s="95">
        <f>'DOE25'!G48</f>
        <v>216171</v>
      </c>
      <c r="E47" s="95">
        <f>'DOE25'!H48</f>
        <v>0</v>
      </c>
      <c r="F47" s="95">
        <f>'DOE25'!I48</f>
        <v>0</v>
      </c>
      <c r="G47" s="95">
        <f>'DOE25'!J48</f>
        <v>1150436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1251307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413024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4648594</v>
      </c>
      <c r="D50" s="41">
        <f>SUM(D34:D49)</f>
        <v>216171</v>
      </c>
      <c r="E50" s="41">
        <f>SUM(E34:E49)</f>
        <v>0</v>
      </c>
      <c r="F50" s="41">
        <f>SUM(F34:F49)</f>
        <v>0</v>
      </c>
      <c r="G50" s="41">
        <f>SUM(G34:G49)</f>
        <v>1150436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5942186</v>
      </c>
      <c r="D51" s="41">
        <f>D50+D31</f>
        <v>216171</v>
      </c>
      <c r="E51" s="41">
        <f>E50+E31</f>
        <v>25318</v>
      </c>
      <c r="F51" s="41">
        <f>F50+F31</f>
        <v>0</v>
      </c>
      <c r="G51" s="41">
        <f>G50+G31</f>
        <v>1150436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18680946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7194324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-1706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680840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39619</v>
      </c>
      <c r="D61" s="95">
        <f>SUM('DOE25'!G98:G110)</f>
        <v>0</v>
      </c>
      <c r="E61" s="95">
        <f>SUM('DOE25'!H98:H110)</f>
        <v>66645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7232237</v>
      </c>
      <c r="D62" s="130">
        <f>SUM(D57:D61)</f>
        <v>680840</v>
      </c>
      <c r="E62" s="130">
        <f>SUM(E57:E61)</f>
        <v>66645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25913183</v>
      </c>
      <c r="D63" s="22">
        <f>D56+D62</f>
        <v>680840</v>
      </c>
      <c r="E63" s="22">
        <f>E56+E62</f>
        <v>66645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6692847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3245261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9938108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321250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340330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21778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12614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683358</v>
      </c>
      <c r="D78" s="130">
        <f>SUM(D72:D77)</f>
        <v>12614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10621466</v>
      </c>
      <c r="D81" s="130">
        <f>SUM(D79:D80)+D78+D70</f>
        <v>12614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355997</v>
      </c>
      <c r="D88" s="95">
        <f>SUM('DOE25'!G153:G161)</f>
        <v>277104</v>
      </c>
      <c r="E88" s="95">
        <f>SUM('DOE25'!H153:H161)</f>
        <v>1027936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50580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355997</v>
      </c>
      <c r="D91" s="131">
        <f>SUM(D85:D90)</f>
        <v>327684</v>
      </c>
      <c r="E91" s="131">
        <f>SUM(E85:E90)</f>
        <v>1027936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204</v>
      </c>
      <c r="E96" s="95">
        <f>'DOE25'!H179</f>
        <v>0</v>
      </c>
      <c r="F96" s="95">
        <f>'DOE25'!I179</f>
        <v>0</v>
      </c>
      <c r="G96" s="95">
        <f>'DOE25'!J179</f>
        <v>300000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204</v>
      </c>
      <c r="E103" s="86">
        <f>SUM(E93:E102)</f>
        <v>0</v>
      </c>
      <c r="F103" s="86">
        <f>SUM(F93:F102)</f>
        <v>0</v>
      </c>
      <c r="G103" s="86">
        <f>SUM(G93:G102)</f>
        <v>300000</v>
      </c>
    </row>
    <row r="104" spans="1:7" ht="12.75" thickTop="1" thickBot="1" x14ac:dyDescent="0.25">
      <c r="A104" s="33" t="s">
        <v>765</v>
      </c>
      <c r="C104" s="86">
        <f>C63+C81+C91+C103</f>
        <v>36890646</v>
      </c>
      <c r="D104" s="86">
        <f>D63+D81+D91+D103</f>
        <v>1021342</v>
      </c>
      <c r="E104" s="86">
        <f>E63+E81+E91+E103</f>
        <v>1094581</v>
      </c>
      <c r="F104" s="86">
        <f>F63+F81+F91+F103</f>
        <v>0</v>
      </c>
      <c r="G104" s="86">
        <f>G63+G81+G103</f>
        <v>300000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15254907</v>
      </c>
      <c r="D109" s="24" t="s">
        <v>289</v>
      </c>
      <c r="E109" s="95">
        <f>('DOE25'!L276)+('DOE25'!L295)+('DOE25'!L314)</f>
        <v>484292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7455644</v>
      </c>
      <c r="D110" s="24" t="s">
        <v>289</v>
      </c>
      <c r="E110" s="95">
        <f>('DOE25'!L277)+('DOE25'!L296)+('DOE25'!L315)</f>
        <v>490778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132069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659680</v>
      </c>
      <c r="D112" s="24" t="s">
        <v>289</v>
      </c>
      <c r="E112" s="95">
        <f>+('DOE25'!L279)+('DOE25'!L298)+('DOE25'!L317)</f>
        <v>18952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73311</v>
      </c>
      <c r="D114" s="24" t="s">
        <v>289</v>
      </c>
      <c r="E114" s="95">
        <f>+ SUM('DOE25'!L333:L335)</f>
        <v>103554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23575611</v>
      </c>
      <c r="D115" s="86">
        <f>SUM(D109:D114)</f>
        <v>0</v>
      </c>
      <c r="E115" s="86">
        <f>SUM(E109:E114)</f>
        <v>1097576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2124066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825875</v>
      </c>
      <c r="D119" s="24" t="s">
        <v>289</v>
      </c>
      <c r="E119" s="95">
        <f>+('DOE25'!L282)+('DOE25'!L301)+('DOE25'!L320)</f>
        <v>34330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1350385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2510387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12148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3438823</v>
      </c>
      <c r="D123" s="24" t="s">
        <v>289</v>
      </c>
      <c r="E123" s="95">
        <f>+('DOE25'!L286)+('DOE25'!L305)+('DOE25'!L324)</f>
        <v>-1646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1842802</v>
      </c>
      <c r="D124" s="24" t="s">
        <v>289</v>
      </c>
      <c r="E124" s="95">
        <f>+('DOE25'!L287)+('DOE25'!L306)+('DOE25'!L325)</f>
        <v>1089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11050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1013218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12103388</v>
      </c>
      <c r="D128" s="86">
        <f>SUM(D118:D127)</f>
        <v>1013218</v>
      </c>
      <c r="E128" s="86">
        <f>SUM(E118:E127)</f>
        <v>45921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174179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162300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92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1256683</v>
      </c>
      <c r="D144" s="141">
        <f>SUM(D130:D143)</f>
        <v>0</v>
      </c>
      <c r="E144" s="141">
        <f>SUM(E130:E143)</f>
        <v>92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36935682</v>
      </c>
      <c r="D145" s="86">
        <f>(D115+D128+D144)</f>
        <v>1013218</v>
      </c>
      <c r="E145" s="86">
        <f>(E115+E128+E144)</f>
        <v>1143589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10/10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6015000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620000</v>
      </c>
    </row>
    <row r="159" spans="1:9" x14ac:dyDescent="0.2">
      <c r="A159" s="22" t="s">
        <v>35</v>
      </c>
      <c r="B159" s="137">
        <f>'DOE25'!F498</f>
        <v>3480000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3480000</v>
      </c>
    </row>
    <row r="160" spans="1:9" x14ac:dyDescent="0.2">
      <c r="A160" s="22" t="s">
        <v>36</v>
      </c>
      <c r="B160" s="137">
        <f>'DOE25'!F499</f>
        <v>575181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575181</v>
      </c>
    </row>
    <row r="161" spans="1:7" x14ac:dyDescent="0.2">
      <c r="A161" s="22" t="s">
        <v>37</v>
      </c>
      <c r="B161" s="137">
        <f>'DOE25'!F500</f>
        <v>4055181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4055181</v>
      </c>
    </row>
    <row r="162" spans="1:7" x14ac:dyDescent="0.2">
      <c r="A162" s="22" t="s">
        <v>38</v>
      </c>
      <c r="B162" s="137">
        <f>'DOE25'!F501</f>
        <v>615000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615000</v>
      </c>
    </row>
    <row r="163" spans="1:7" x14ac:dyDescent="0.2">
      <c r="A163" s="22" t="s">
        <v>39</v>
      </c>
      <c r="B163" s="137">
        <f>'DOE25'!F502</f>
        <v>138700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138700</v>
      </c>
    </row>
    <row r="164" spans="1:7" x14ac:dyDescent="0.2">
      <c r="A164" s="22" t="s">
        <v>246</v>
      </c>
      <c r="B164" s="137">
        <f>'DOE25'!F503</f>
        <v>753700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753700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Goffstown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13679</v>
      </c>
    </row>
    <row r="5" spans="1:4" x14ac:dyDescent="0.2">
      <c r="B5" t="s">
        <v>704</v>
      </c>
      <c r="C5" s="179">
        <f>IF('DOE25'!G665+'DOE25'!G670=0,0,ROUND('DOE25'!G672,0))</f>
        <v>11523</v>
      </c>
    </row>
    <row r="6" spans="1:4" x14ac:dyDescent="0.2">
      <c r="B6" t="s">
        <v>62</v>
      </c>
      <c r="C6" s="179">
        <f>IF('DOE25'!H665+'DOE25'!H670=0,0,ROUND('DOE25'!H672,0))</f>
        <v>12195</v>
      </c>
    </row>
    <row r="7" spans="1:4" x14ac:dyDescent="0.2">
      <c r="B7" t="s">
        <v>705</v>
      </c>
      <c r="C7" s="179">
        <f>IF('DOE25'!I665+'DOE25'!I670=0,0,ROUND('DOE25'!I672,0))</f>
        <v>12377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15739199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7946422</v>
      </c>
      <c r="D11" s="182">
        <f>ROUND((C11/$C$28)*100,1)</f>
        <v>21.3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132069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678632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2124066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860205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1361435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2510387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12148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3437177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1843891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176865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162300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332378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37317174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174179</v>
      </c>
    </row>
    <row r="30" spans="1:4" x14ac:dyDescent="0.2">
      <c r="B30" s="187" t="s">
        <v>729</v>
      </c>
      <c r="C30" s="180">
        <f>SUM(C28:C29)</f>
        <v>37491353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620000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18680946</v>
      </c>
      <c r="D35" s="182">
        <f t="shared" ref="D35:D40" si="1">ROUND((C35/$C$41)*100,1)</f>
        <v>48.7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7298882</v>
      </c>
      <c r="D36" s="182">
        <f t="shared" si="1"/>
        <v>19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9938108</v>
      </c>
      <c r="D37" s="182">
        <f t="shared" si="1"/>
        <v>25.9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695972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1711617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38325525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Goffstown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2015-09-21T12:17:51Z</cp:lastPrinted>
  <dcterms:created xsi:type="dcterms:W3CDTF">1997-12-04T19:04:30Z</dcterms:created>
  <dcterms:modified xsi:type="dcterms:W3CDTF">2015-11-25T16:14:34Z</dcterms:modified>
</cp:coreProperties>
</file>