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97" i="1" l="1"/>
  <c r="F4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12" i="2" s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E123" i="2" s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L250" i="1"/>
  <c r="L332" i="1"/>
  <c r="L254" i="1"/>
  <c r="C25" i="10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E31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C62" i="2" s="1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H408" i="1" s="1"/>
  <c r="H644" i="1" s="1"/>
  <c r="J644" i="1" s="1"/>
  <c r="I401" i="1"/>
  <c r="I408" i="1" s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I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H642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C26" i="10"/>
  <c r="L351" i="1"/>
  <c r="D18" i="13"/>
  <c r="C18" i="13" s="1"/>
  <c r="D18" i="2"/>
  <c r="D17" i="13"/>
  <c r="C17" i="13" s="1"/>
  <c r="F78" i="2"/>
  <c r="F81" i="2" s="1"/>
  <c r="C78" i="2"/>
  <c r="D50" i="2"/>
  <c r="G157" i="2"/>
  <c r="F18" i="2"/>
  <c r="E103" i="2"/>
  <c r="D91" i="2"/>
  <c r="E62" i="2"/>
  <c r="E63" i="2" s="1"/>
  <c r="G62" i="2"/>
  <c r="D14" i="13"/>
  <c r="C14" i="13" s="1"/>
  <c r="E78" i="2"/>
  <c r="E81" i="2" s="1"/>
  <c r="H112" i="1"/>
  <c r="J641" i="1"/>
  <c r="J639" i="1"/>
  <c r="J571" i="1"/>
  <c r="K571" i="1"/>
  <c r="L433" i="1"/>
  <c r="L419" i="1"/>
  <c r="D81" i="2"/>
  <c r="I169" i="1"/>
  <c r="J643" i="1"/>
  <c r="F476" i="1"/>
  <c r="H622" i="1" s="1"/>
  <c r="G476" i="1"/>
  <c r="H623" i="1" s="1"/>
  <c r="F169" i="1"/>
  <c r="J140" i="1"/>
  <c r="G22" i="2"/>
  <c r="K598" i="1"/>
  <c r="G647" i="1" s="1"/>
  <c r="C29" i="10"/>
  <c r="H140" i="1"/>
  <c r="L393" i="1"/>
  <c r="F22" i="13"/>
  <c r="C22" i="13" s="1"/>
  <c r="H571" i="1"/>
  <c r="L560" i="1"/>
  <c r="G192" i="1"/>
  <c r="H192" i="1"/>
  <c r="E16" i="13"/>
  <c r="L570" i="1"/>
  <c r="I571" i="1"/>
  <c r="G36" i="2"/>
  <c r="L565" i="1"/>
  <c r="C138" i="2"/>
  <c r="C16" i="13"/>
  <c r="J640" i="1" l="1"/>
  <c r="I446" i="1"/>
  <c r="G642" i="1" s="1"/>
  <c r="A40" i="12"/>
  <c r="A31" i="12"/>
  <c r="A13" i="12"/>
  <c r="J651" i="1"/>
  <c r="J649" i="1"/>
  <c r="I545" i="1"/>
  <c r="L544" i="1"/>
  <c r="K550" i="1"/>
  <c r="L539" i="1"/>
  <c r="I552" i="1"/>
  <c r="H552" i="1"/>
  <c r="K545" i="1"/>
  <c r="J545" i="1"/>
  <c r="L534" i="1"/>
  <c r="G545" i="1"/>
  <c r="H545" i="1"/>
  <c r="G552" i="1"/>
  <c r="L529" i="1"/>
  <c r="K551" i="1"/>
  <c r="L524" i="1"/>
  <c r="G161" i="2"/>
  <c r="K503" i="1"/>
  <c r="H476" i="1"/>
  <c r="H624" i="1" s="1"/>
  <c r="J624" i="1" s="1"/>
  <c r="J634" i="1"/>
  <c r="L362" i="1"/>
  <c r="C27" i="10" s="1"/>
  <c r="D127" i="2"/>
  <c r="D128" i="2" s="1"/>
  <c r="D145" i="2" s="1"/>
  <c r="F661" i="1"/>
  <c r="G661" i="1"/>
  <c r="D29" i="13"/>
  <c r="C29" i="13" s="1"/>
  <c r="H661" i="1"/>
  <c r="H662" i="1"/>
  <c r="L328" i="1"/>
  <c r="E124" i="2"/>
  <c r="E110" i="2"/>
  <c r="E114" i="2"/>
  <c r="D12" i="13"/>
  <c r="C12" i="13" s="1"/>
  <c r="C124" i="2"/>
  <c r="C120" i="2"/>
  <c r="I257" i="1"/>
  <c r="I271" i="1" s="1"/>
  <c r="D7" i="13"/>
  <c r="C7" i="13" s="1"/>
  <c r="L247" i="1"/>
  <c r="C119" i="2"/>
  <c r="L229" i="1"/>
  <c r="D6" i="13"/>
  <c r="C6" i="13" s="1"/>
  <c r="E13" i="13"/>
  <c r="C13" i="13" s="1"/>
  <c r="E8" i="13"/>
  <c r="C8" i="13" s="1"/>
  <c r="D15" i="13"/>
  <c r="C15" i="13" s="1"/>
  <c r="C121" i="2"/>
  <c r="C16" i="10"/>
  <c r="C110" i="2"/>
  <c r="K257" i="1"/>
  <c r="K271" i="1" s="1"/>
  <c r="C111" i="2"/>
  <c r="D5" i="13"/>
  <c r="C5" i="13" s="1"/>
  <c r="H257" i="1"/>
  <c r="H271" i="1" s="1"/>
  <c r="K338" i="1"/>
  <c r="K352" i="1" s="1"/>
  <c r="J647" i="1"/>
  <c r="J257" i="1"/>
  <c r="J271" i="1" s="1"/>
  <c r="F257" i="1"/>
  <c r="F271" i="1" s="1"/>
  <c r="L211" i="1"/>
  <c r="C12" i="10"/>
  <c r="C21" i="10"/>
  <c r="C20" i="10"/>
  <c r="E111" i="2"/>
  <c r="H338" i="1"/>
  <c r="H352" i="1" s="1"/>
  <c r="G662" i="1"/>
  <c r="I662" i="1" s="1"/>
  <c r="E121" i="2"/>
  <c r="L309" i="1"/>
  <c r="G660" i="1" s="1"/>
  <c r="G338" i="1"/>
  <c r="G352" i="1" s="1"/>
  <c r="E122" i="2"/>
  <c r="E120" i="2"/>
  <c r="E119" i="2"/>
  <c r="C15" i="10"/>
  <c r="C13" i="10"/>
  <c r="E109" i="2"/>
  <c r="F338" i="1"/>
  <c r="F352" i="1" s="1"/>
  <c r="C19" i="10"/>
  <c r="J338" i="1"/>
  <c r="J352" i="1" s="1"/>
  <c r="C18" i="10"/>
  <c r="C17" i="10"/>
  <c r="E118" i="2"/>
  <c r="E112" i="2"/>
  <c r="L290" i="1"/>
  <c r="F660" i="1" s="1"/>
  <c r="C10" i="10"/>
  <c r="H25" i="13"/>
  <c r="L256" i="1"/>
  <c r="C81" i="2"/>
  <c r="C56" i="2"/>
  <c r="C63" i="2" s="1"/>
  <c r="C104" i="2" s="1"/>
  <c r="J623" i="1"/>
  <c r="D31" i="2"/>
  <c r="J625" i="1"/>
  <c r="G625" i="1"/>
  <c r="H52" i="1"/>
  <c r="H619" i="1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K552" i="1" l="1"/>
  <c r="L545" i="1"/>
  <c r="G635" i="1"/>
  <c r="J635" i="1" s="1"/>
  <c r="F664" i="1"/>
  <c r="F672" i="1" s="1"/>
  <c r="C4" i="10" s="1"/>
  <c r="G664" i="1"/>
  <c r="G667" i="1" s="1"/>
  <c r="I661" i="1"/>
  <c r="H660" i="1"/>
  <c r="H664" i="1" s="1"/>
  <c r="H667" i="1" s="1"/>
  <c r="C128" i="2"/>
  <c r="C115" i="2"/>
  <c r="L257" i="1"/>
  <c r="L271" i="1" s="1"/>
  <c r="G632" i="1" s="1"/>
  <c r="J632" i="1" s="1"/>
  <c r="E33" i="13"/>
  <c r="D35" i="13" s="1"/>
  <c r="H648" i="1"/>
  <c r="J648" i="1" s="1"/>
  <c r="E115" i="2"/>
  <c r="E128" i="2"/>
  <c r="D31" i="13"/>
  <c r="C31" i="13" s="1"/>
  <c r="L338" i="1"/>
  <c r="L352" i="1" s="1"/>
  <c r="G633" i="1" s="1"/>
  <c r="J633" i="1" s="1"/>
  <c r="C25" i="13"/>
  <c r="H33" i="13"/>
  <c r="C28" i="10"/>
  <c r="D23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F667" i="1" l="1"/>
  <c r="G672" i="1"/>
  <c r="C5" i="10" s="1"/>
  <c r="H672" i="1"/>
  <c r="C6" i="10" s="1"/>
  <c r="I660" i="1"/>
  <c r="I664" i="1" s="1"/>
  <c r="I672" i="1" s="1"/>
  <c r="C7" i="10" s="1"/>
  <c r="C145" i="2"/>
  <c r="E145" i="2"/>
  <c r="D33" i="13"/>
  <c r="D36" i="13" s="1"/>
  <c r="D25" i="10"/>
  <c r="D22" i="10"/>
  <c r="D18" i="10"/>
  <c r="D27" i="10"/>
  <c r="D15" i="10"/>
  <c r="D21" i="10"/>
  <c r="D24" i="10"/>
  <c r="D20" i="10"/>
  <c r="D11" i="10"/>
  <c r="D12" i="10"/>
  <c r="D13" i="10"/>
  <c r="D17" i="10"/>
  <c r="D19" i="10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<sst xmlns="http://schemas.openxmlformats.org/spreadsheetml/2006/main" count="3958" uniqueCount="916">
  <si>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</si>
  <si>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</si>
  <si>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</si>
  <si>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</si>
  <si>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</si>
  <si>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</si>
  <si>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</si>
  <si>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</si>
  <si>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</si>
  <si>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</si>
  <si>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</si>
  <si>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</si>
  <si>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</si>
  <si>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</si>
  <si>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</si>
  <si>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</si>
  <si>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</si>
  <si>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</si>
  <si>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</si>
  <si>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</si>
  <si>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</si>
  <si>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</si>
  <si>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</si>
  <si>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</si>
  <si>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</si>
  <si>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</si>
  <si>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</si>
  <si>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</si>
  <si>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</si>
  <si>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</si>
  <si>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</si>
  <si>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</si>
  <si>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</si>
  <si>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</si>
  <si>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</si>
  <si>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</si>
  <si>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</si>
  <si>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</si>
  <si>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</si>
  <si>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</si>
  <si>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</si>
  <si>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</si>
  <si>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</si>
  <si>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</si>
  <si>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</si>
  <si>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</si>
  <si>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</si>
  <si>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</si>
  <si>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</si>
  <si>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</si>
  <si>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</si>
  <si>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</si>
  <si>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</si>
  <si>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</si>
  <si>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</si>
  <si>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</si>
  <si>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</si>
  <si>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</si>
  <si>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</si>
  <si>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</si>
  <si>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</si>
  <si>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</si>
  <si>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</si>
  <si>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</si>
  <si>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</si>
  <si>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</si>
  <si>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</si>
  <si>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</si>
  <si>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</si>
  <si>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</si>
  <si>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</si>
  <si>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</si>
  <si>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</si>
  <si>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</si>
  <si>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</si>
  <si>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</si>
  <si>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</si>
  <si>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</si>
  <si>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</si>
  <si>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</si>
  <si>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</si>
  <si>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</si>
  <si>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</si>
  <si>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</si>
  <si>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</si>
  <si>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</si>
  <si>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</si>
  <si>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</si>
  <si>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</si>
  <si>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</si>
  <si>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</si>
  <si>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</si>
  <si>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</si>
  <si>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</si>
  <si>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</si>
  <si>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</si>
  <si>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</si>
  <si>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</si>
  <si>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</si>
  <si>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</si>
  <si>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</si>
  <si>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</si>
  <si>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</si>
  <si>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</si>
  <si>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</si>
  <si>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</si>
  <si>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</si>
  <si>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</si>
  <si>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</si>
  <si>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</si>
  <si>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</si>
  <si>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</si>
  <si>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</si>
  <si>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</si>
  <si>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</si>
  <si>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</si>
  <si>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</si>
  <si>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</si>
  <si>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</si>
  <si>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</si>
  <si>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</si>
  <si>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</si>
  <si>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</si>
  <si>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</si>
  <si>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</si>
  <si>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</si>
  <si>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</si>
  <si>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</si>
  <si>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</si>
  <si>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</si>
  <si>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</si>
  <si>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</si>
  <si>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</si>
  <si>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</si>
  <si>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</si>
  <si>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</si>
  <si>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</si>
  <si>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</si>
  <si>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</si>
  <si>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</si>
  <si>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</si>
  <si>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</si>
  <si>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</si>
  <si>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</si>
  <si>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</si>
  <si>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</si>
  <si>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</si>
  <si>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</si>
  <si>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</si>
  <si>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</si>
  <si>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</si>
  <si>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</si>
  <si>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</si>
  <si>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</si>
  <si>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</si>
  <si>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</si>
  <si>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</si>
  <si>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</si>
  <si>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</si>
  <si>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</si>
  <si>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</si>
  <si>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</si>
  <si>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</si>
  <si>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</si>
  <si>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</si>
  <si>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</si>
  <si>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</si>
  <si>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</si>
  <si>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</si>
  <si>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</si>
  <si>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</si>
  <si>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</si>
  <si>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</si>
  <si>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</si>
  <si>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</si>
  <si>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</si>
  <si>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</si>
  <si>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</si>
  <si>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</si>
  <si>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</si>
  <si>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</si>
  <si>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</si>
  <si>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</si>
  <si>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</si>
  <si>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</si>
  <si>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</si>
  <si>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</si>
  <si>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</si>
  <si>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</si>
  <si>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</si>
  <si>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</si>
  <si>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</si>
  <si>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</si>
  <si>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</si>
  <si>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</si>
  <si>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</si>
  <si>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</si>
  <si>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</si>
  <si>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</si>
  <si>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</si>
  <si>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</si>
  <si>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</si>
  <si>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</si>
  <si>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</si>
  <si>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</si>
  <si>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</si>
  <si>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</si>
  <si>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</si>
  <si>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</si>
  <si>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</si>
  <si>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</si>
  <si>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</si>
  <si>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</si>
  <si>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</si>
  <si>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</si>
  <si>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</si>
  <si>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</si>
  <si>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</si>
  <si>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</si>
  <si>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</si>
  <si>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</si>
  <si>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</si>
  <si>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</si>
  <si>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</si>
  <si>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</si>
  <si>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</si>
  <si>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</si>
  <si>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</si>
  <si>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</si>
  <si>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</si>
  <si>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</si>
  <si>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</si>
  <si>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</si>
  <si>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</si>
  <si>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</si>
  <si>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</si>
  <si>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</si>
  <si>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</si>
  <si>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</si>
  <si>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</si>
  <si>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</si>
  <si>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</si>
  <si>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</si>
  <si>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</si>
  <si>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</si>
  <si>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</si>
  <si>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</si>
  <si>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</si>
  <si>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</si>
  <si>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</si>
  <si>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</si>
  <si>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</si>
  <si>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</si>
  <si>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</si>
  <si>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</si>
  <si>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</si>
  <si>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</si>
  <si>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</si>
  <si>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</si>
  <si>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</si>
  <si>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</si>
  <si>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</si>
  <si>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</si>
  <si>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</si>
  <si>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</si>
  <si>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</si>
  <si>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</si>
  <si>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</si>
  <si>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</si>
  <si>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</si>
  <si>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</si>
  <si>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</si>
  <si>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</si>
  <si>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</si>
  <si>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</si>
  <si>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</si>
  <si>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</si>
  <si>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</si>
  <si>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</si>
  <si>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</si>
  <si>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</si>
  <si>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</si>
  <si>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</si>
  <si>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</si>
  <si>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</si>
  <si>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</si>
  <si>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</si>
  <si>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</si>
  <si>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</si>
  <si>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</si>
  <si>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</si>
  <si>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</si>
  <si>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</si>
  <si>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</si>
  <si>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</si>
  <si>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</si>
  <si>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</si>
  <si>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</si>
  <si>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</si>
  <si>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</si>
  <si>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</si>
  <si>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</si>
  <si>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</si>
  <si>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</si>
  <si>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</si>
  <si>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</si>
  <si>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</si>
  <si>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</si>
  <si>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</si>
  <si>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</si>
  <si>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</si>
  <si>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</si>
  <si>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</si>
  <si>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</si>
  <si>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</si>
  <si>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</si>
  <si>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</si>
  <si>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</si>
  <si>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</si>
  <si>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</si>
  <si>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</si>
  <si>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</si>
  <si>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</si>
  <si>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</si>
  <si>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</si>
  <si>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</si>
  <si>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</si>
  <si>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</si>
  <si>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</si>
  <si>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</si>
  <si>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</si>
  <si>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</si>
  <si>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</si>
  <si>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</si>
  <si>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</si>
  <si>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</si>
  <si>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</si>
  <si>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</si>
  <si>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</si>
  <si>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</si>
  <si>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</si>
  <si>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</si>
  <si>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</si>
  <si>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</si>
  <si>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</si>
  <si>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</si>
  <si>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</si>
  <si>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</si>
  <si>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</si>
  <si>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</si>
  <si>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</si>
  <si>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</si>
  <si>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</si>
  <si>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</si>
  <si>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</si>
  <si>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</si>
  <si>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</si>
  <si>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</si>
  <si>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</si>
  <si>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</si>
  <si>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</si>
  <si>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</si>
  <si>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</si>
  <si>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</si>
  <si>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</si>
  <si>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</si>
  <si>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</si>
  <si>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</si>
  <si>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</si>
  <si>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</si>
  <si>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</si>
  <si>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</si>
  <si>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</si>
  <si>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</si>
  <si>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</si>
  <si>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</si>
  <si>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</si>
  <si>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</si>
  <si>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</si>
  <si>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</si>
  <si>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</si>
  <si>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</si>
  <si>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</si>
  <si>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</si>
  <si>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</si>
  <si>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</si>
  <si>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</si>
  <si>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</si>
  <si>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</si>
  <si>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</si>
  <si>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</si>
  <si>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</si>
  <si>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</si>
  <si>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</si>
  <si>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</si>
  <si>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</si>
  <si>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</si>
  <si>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</si>
  <si>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</si>
  <si>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</si>
  <si>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</si>
  <si>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</si>
  <si>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</si>
  <si>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</si>
  <si>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</si>
  <si>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</si>
  <si>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</si>
  <si>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</si>
  <si>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</si>
  <si>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</si>
  <si>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</si>
  <si>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</si>
  <si>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</si>
  <si>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</si>
  <si>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</si>
  <si>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</si>
  <si>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</si>
  <si>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</si>
  <si>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</si>
  <si>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</si>
  <si>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</si>
  <si>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</si>
  <si>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</si>
  <si>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</si>
  <si>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</si>
  <si>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</si>
  <si>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</si>
  <si>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</si>
  <si>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</si>
  <si>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</si>
  <si>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</si>
  <si>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</si>
  <si>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</si>
  <si>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</si>
  <si>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</si>
  <si>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</si>
  <si>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</si>
  <si>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</si>
  <si>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</si>
  <si>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</si>
  <si>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</si>
  <si>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</si>
  <si>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</si>
  <si>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</si>
  <si>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</si>
  <si>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</si>
  <si>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</si>
  <si>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</si>
  <si>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</si>
  <si>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</si>
  <si>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</si>
  <si>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</si>
  <si>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</si>
  <si>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</si>
  <si>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</si>
  <si>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</si>
  <si>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</si>
  <si>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</si>
  <si>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</si>
  <si>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</si>
  <si>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</si>
  <si>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</si>
  <si>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</si>
  <si>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</si>
  <si>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</si>
  <si>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</si>
  <si>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</si>
  <si>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</si>
  <si>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</si>
  <si>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</si>
  <si>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</si>
  <si>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</si>
  <si>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</si>
  <si>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</si>
  <si>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</si>
  <si>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</si>
  <si>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</si>
  <si>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</si>
  <si>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</si>
  <si>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</si>
  <si>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</si>
  <si>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</si>
  <si>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</si>
  <si>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</si>
  <si>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</si>
  <si>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</si>
  <si>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</si>
  <si>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</si>
  <si>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</si>
  <si>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</si>
  <si>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</si>
  <si>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</si>
  <si>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</si>
  <si>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</si>
  <si>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</si>
  <si>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</si>
  <si>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</si>
  <si>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</si>
  <si>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</si>
  <si>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</si>
  <si>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</si>
  <si>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</si>
  <si>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</si>
  <si>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</si>
  <si>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</si>
  <si>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</si>
  <si>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</si>
  <si>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</si>
  <si>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</si>
  <si>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</si>
  <si>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</si>
  <si>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</si>
  <si>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</si>
  <si>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</si>
  <si>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</si>
  <si>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</si>
  <si>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</si>
  <si>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</si>
  <si>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</si>
  <si>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</si>
  <si>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</si>
  <si>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</si>
  <si>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</si>
  <si>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</si>
  <si>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</si>
  <si>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</si>
  <si>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</si>
  <si>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</si>
  <si>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</si>
  <si>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</si>
  <si>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</si>
  <si>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</si>
  <si>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</si>
  <si>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</si>
  <si>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</si>
  <si>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</si>
  <si>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</si>
  <si>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</si>
  <si>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</si>
  <si>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</si>
  <si>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</si>
  <si>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</si>
  <si>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</si>
  <si>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</si>
  <si>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</si>
  <si>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</si>
  <si>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</si>
  <si>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</si>
  <si>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</si>
  <si>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</si>
  <si>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</si>
  <si>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</si>
  <si>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</si>
  <si>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</si>
  <si>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</si>
  <si>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</si>
  <si>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</si>
  <si>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</si>
  <si>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</si>
  <si>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</si>
  <si>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</si>
  <si>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</si>
  <si>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</si>
  <si>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</si>
  <si>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</si>
  <si>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</si>
  <si>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</si>
  <si>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</si>
  <si>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</si>
  <si>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</si>
  <si>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</si>
  <si>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</si>
  <si>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</si>
  <si>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</si>
  <si>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</si>
  <si>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</si>
  <si>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</si>
  <si>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</si>
  <si>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</si>
  <si>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</si>
  <si>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</si>
  <si>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</si>
  <si>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</si>
  <si>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</si>
  <si>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</si>
  <si>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</si>
  <si>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</si>
  <si>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</si>
  <si>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</si>
  <si>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</si>
  <si>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</si>
  <si>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</si>
  <si>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</si>
  <si>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</si>
  <si>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</si>
  <si>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</si>
  <si>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</si>
  <si>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</si>
  <si>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</si>
  <si>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</si>
  <si>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</si>
  <si>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</si>
  <si>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</si>
  <si>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</si>
  <si>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</si>
  <si>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</si>
  <si>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</si>
  <si>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</si>
  <si>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</si>
  <si>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</si>
  <si>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</si>
  <si>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</si>
  <si>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</si>
  <si>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</si>
  <si>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</si>
  <si>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</si>
  <si>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</si>
  <si>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</si>
  <si>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</si>
  <si>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</si>
  <si>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</si>
  <si>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</si>
  <si>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</si>
  <si>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</si>
  <si>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</si>
  <si>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</si>
  <si>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</si>
  <si>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</si>
  <si>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</si>
  <si>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</si>
  <si>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</si>
  <si>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</si>
  <si>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</si>
  <si>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</si>
  <si>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</si>
  <si>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</si>
  <si>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</si>
  <si>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</si>
  <si>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</si>
  <si>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</si>
  <si>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</si>
  <si>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</si>
  <si>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</si>
  <si>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</si>
  <si>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</si>
  <si>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</si>
  <si>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</si>
  <si>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</si>
  <si>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</si>
  <si>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</si>
  <si>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</si>
  <si>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</si>
  <si>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</si>
  <si>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</si>
  <si>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</si>
  <si>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</si>
  <si>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</si>
  <si>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</si>
  <si>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</si>
  <si>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</si>
  <si>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</si>
  <si>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</si>
  <si>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</si>
  <si>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</si>
  <si>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</si>
  <si>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</si>
  <si>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</si>
  <si>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</si>
  <si>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</si>
  <si>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</si>
  <si>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</si>
  <si>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</si>
  <si>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</si>
  <si>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</si>
  <si>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</si>
  <si>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</si>
  <si>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</si>
  <si>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</si>
  <si>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</si>
  <si>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</si>
  <si>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</si>
  <si>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</si>
  <si>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</si>
  <si>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</si>
  <si>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</si>
  <si>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</si>
  <si>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</si>
  <si>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</si>
  <si>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</si>
  <si>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</si>
  <si>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</si>
  <si>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</si>
  <si>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</si>
  <si>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</si>
  <si>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</si>
  <si>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</si>
  <si>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</si>
  <si>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</si>
  <si>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</si>
  <si>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</si>
  <si>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</si>
  <si>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</si>
  <si>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</si>
  <si>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</si>
  <si>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</si>
  <si>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</si>
  <si>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</si>
  <si>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</si>
  <si>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</si>
  <si>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</si>
  <si>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</si>
  <si>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</si>
  <si>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</si>
  <si>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</si>
  <si>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</si>
  <si>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</si>
  <si>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</si>
  <si>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</si>
  <si>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</si>
  <si>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</si>
  <si>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</si>
  <si>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</si>
  <si>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</si>
  <si>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</si>
  <si>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</si>
  <si>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</si>
  <si>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</si>
  <si>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</si>
  <si>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</si>
  <si>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</si>
  <si>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</si>
  <si>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</si>
  <si>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</si>
  <si>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</si>
  <si>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</si>
  <si>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</si>
  <si>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</si>
  <si>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</si>
  <si>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</si>
  <si>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</si>
  <si>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</si>
  <si>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</si>
  <si>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</si>
  <si>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</si>
  <si>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</si>
  <si>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</si>
  <si>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</si>
  <si>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</si>
  <si>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</si>
  <si>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</si>
  <si>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</si>
  <si>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</si>
  <si>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</si>
  <si>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</si>
  <si>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</si>
  <si>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</si>
  <si>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</si>
  <si>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</si>
  <si>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</si>
  <si>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</si>
  <si>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</si>
  <si>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</si>
  <si>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</si>
  <si>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</si>
  <si>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</si>
  <si>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</si>
  <si>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</si>
  <si>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</si>
  <si>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</si>
  <si>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</si>
  <si>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</si>
  <si>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</si>
  <si>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</si>
  <si>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</si>
  <si>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</si>
  <si>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</si>
  <si>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</si>
  <si>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</si>
  <si>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</si>
  <si>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</si>
  <si>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</si>
  <si>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</si>
  <si>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</si>
  <si>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</si>
  <si>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</si>
  <si>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</si>
  <si>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</si>
  <si>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</si>
  <si>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</si>
  <si>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</si>
  <si>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</si>
  <si>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</si>
  <si>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</si>
  <si>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</si>
  <si>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</si>
  <si>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</si>
  <si>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</si>
  <si>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</si>
  <si>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</si>
  <si>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</si>
  <si>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</si>
  <si>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</si>
  <si>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</si>
  <si>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</si>
  <si>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</si>
  <si>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</si>
  <si>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</si>
  <si>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</si>
  <si>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</si>
  <si>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</si>
  <si>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</si>
  <si>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</si>
  <si>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</si>
  <si>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</si>
  <si>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</si>
  <si>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</si>
  <si>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</si>
  <si>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</si>
  <si>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</si>
  <si>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</si>
  <si>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</si>
  <si>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</si>
  <si>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</si>
  <si>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</si>
  <si>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</si>
  <si>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</si>
  <si>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</si>
  <si>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</si>
  <si>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</si>
  <si>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</si>
  <si>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</si>
  <si>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</si>
  <si>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</si>
  <si>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</si>
  <si>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</si>
  <si>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</si>
  <si>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</si>
  <si>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</si>
  <si>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</si>
  <si>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</si>
  <si>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</si>
  <si>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</si>
  <si>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</si>
  <si>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</si>
  <si>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</si>
  <si>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</si>
  <si>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</si>
  <si>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</si>
  <si>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</si>
  <si>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</si>
  <si>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</si>
  <si>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</si>
  <si>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</si>
  <si>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</si>
  <si>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</si>
  <si>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</si>
  <si>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</si>
  <si>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</si>
  <si>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</si>
  <si>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</si>
  <si>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</si>
  <si>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</si>
  <si>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</si>
  <si>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</si>
  <si>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</si>
  <si>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</si>
  <si>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</si>
  <si>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</si>
  <si>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</si>
  <si>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</si>
  <si>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</si>
  <si>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</si>
  <si>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</si>
  <si>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</si>
  <si>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</si>
  <si>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</si>
  <si>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</si>
  <si>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</si>
  <si>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</si>
  <si>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</si>
  <si>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</si>
  <si>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</si>
  <si>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</si>
  <si>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</si>
  <si>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</si>
  <si>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</si>
  <si>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</si>
  <si>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</si>
  <si>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</si>
  <si>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</si>
  <si>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</si>
  <si>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</si>
  <si>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</si>
  <si>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</si>
  <si>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</si>
  <si>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</si>
  <si>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</si>
  <si>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</si>
  <si>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</si>
  <si>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</si>
  <si>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</si>
  <si>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</si>
  <si>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</si>
  <si>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</si>
  <si>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</si>
  <si>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</si>
  <si>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</si>
  <si>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</si>
  <si>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</si>
  <si>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</si>
  <si>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</si>
  <si>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07/09</t>
  </si>
  <si>
    <t>07/10</t>
  </si>
  <si>
    <t>07/39</t>
  </si>
  <si>
    <t>08/40</t>
  </si>
  <si>
    <t>Governor Wentworth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</si>
</sst>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208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2493126.87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54482.28</v>
      </c>
      <c r="G12" s="18">
        <v>25109.82</v>
      </c>
      <c r="H12" s="18"/>
      <c r="I12" s="18">
        <v>114636.72</v>
      </c>
      <c r="J12" s="67">
        <f>SUM(I441)</f>
        <v>43989.91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553608.69999999995</v>
      </c>
      <c r="G13" s="18">
        <v>35679.86</v>
      </c>
      <c r="H13" s="18">
        <v>315194.3</v>
      </c>
      <c r="I13" s="18"/>
      <c r="J13" s="67">
        <f>SUM(I442)</f>
        <v>1267252.46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12261.9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3113489.7499999995</v>
      </c>
      <c r="G19" s="41">
        <f>SUM(G9:G18)</f>
        <v>60789.68</v>
      </c>
      <c r="H19" s="41">
        <f>SUM(H9:H18)</f>
        <v>315194.3</v>
      </c>
      <c r="I19" s="41">
        <f>SUM(I9:I18)</f>
        <v>114636.72</v>
      </c>
      <c r="J19" s="41">
        <f>SUM(J9:J18)</f>
        <v>1311242.3699999999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243088.99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200295.42</v>
      </c>
      <c r="G28" s="18">
        <v>8791.0300000000007</v>
      </c>
      <c r="H28" s="18">
        <v>21796.11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10081.64</v>
      </c>
      <c r="G30" s="18">
        <v>19049.490000000002</v>
      </c>
      <c r="H30" s="18">
        <v>50309.2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210377.06</v>
      </c>
      <c r="G32" s="41">
        <f>SUM(G22:G31)</f>
        <v>27840.520000000004</v>
      </c>
      <c r="H32" s="41">
        <f>SUM(H22:H31)</f>
        <v>315194.3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32949.160000000003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v>114636.72</v>
      </c>
      <c r="J48" s="13">
        <f>SUM(I459)</f>
        <v>1311242.3700000001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39691.64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2803421.05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2903112.69</v>
      </c>
      <c r="G51" s="41">
        <f>SUM(G35:G50)</f>
        <v>32949.160000000003</v>
      </c>
      <c r="H51" s="41">
        <f>SUM(H35:H50)</f>
        <v>0</v>
      </c>
      <c r="I51" s="41">
        <f>SUM(I35:I50)</f>
        <v>114636.72</v>
      </c>
      <c r="J51" s="41">
        <f>SUM(J35:J50)</f>
        <v>1311242.3700000001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3113489.75</v>
      </c>
      <c r="G52" s="41">
        <f>G51+G32</f>
        <v>60789.680000000008</v>
      </c>
      <c r="H52" s="41">
        <f>H51+H32</f>
        <v>315194.3</v>
      </c>
      <c r="I52" s="41">
        <f>I51+I32</f>
        <v>114636.72</v>
      </c>
      <c r="J52" s="41">
        <f>J51+J32</f>
        <v>1311242.3700000001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25494682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41842.239999999998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25536524.239999998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49404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378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306617.78000000003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94860.479999999996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256910.16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708170.42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1240.8499999999999</v>
      </c>
      <c r="G96" s="18"/>
      <c r="H96" s="18"/>
      <c r="I96" s="18"/>
      <c r="J96" s="18">
        <v>25402.13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466345.19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8259.51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2637.5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3841.05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v>100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842.93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117531.87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134353.71</v>
      </c>
      <c r="G111" s="41">
        <f>SUM(G96:G110)</f>
        <v>466345.19</v>
      </c>
      <c r="H111" s="41">
        <f>SUM(H96:H110)</f>
        <v>0</v>
      </c>
      <c r="I111" s="41">
        <f>SUM(I96:I110)</f>
        <v>0</v>
      </c>
      <c r="J111" s="41">
        <f>SUM(J96:J110)</f>
        <v>25502.13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26379048.370000001</v>
      </c>
      <c r="G112" s="41">
        <f>G60+G111</f>
        <v>466345.19</v>
      </c>
      <c r="H112" s="41">
        <f>H60+H79+H94+H111</f>
        <v>0</v>
      </c>
      <c r="I112" s="41">
        <f>I60+I111</f>
        <v>0</v>
      </c>
      <c r="J112" s="41">
        <f>J60+J111</f>
        <v>25502.13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3931289.93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10902857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14834146.93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1626095.88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109906.78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226645.31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11465.65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1962647.97</v>
      </c>
      <c r="G136" s="41">
        <f>SUM(G123:G135)</f>
        <v>11465.65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16796794.899999999</v>
      </c>
      <c r="G140" s="41">
        <f>G121+SUM(G136:G137)</f>
        <v>11465.65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620896.03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277292.84999999998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134066.59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119989.39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494285.46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535902.06000000006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281468.76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281468.76</v>
      </c>
      <c r="G162" s="41">
        <f>SUM(G150:G161)</f>
        <v>494285.46</v>
      </c>
      <c r="H162" s="41">
        <f>SUM(H150:H161)</f>
        <v>1688146.92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281468.76</v>
      </c>
      <c r="G169" s="41">
        <f>G147+G162+SUM(G163:G168)</f>
        <v>494285.46</v>
      </c>
      <c r="H169" s="41">
        <f>H147+H162+SUM(H163:H168)</f>
        <v>1688146.92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60000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43457312.029999994</v>
      </c>
      <c r="G193" s="47">
        <f>G112+G140+G169+G192</f>
        <v>972096.3</v>
      </c>
      <c r="H193" s="47">
        <f>H112+H140+H169+H192</f>
        <v>1688146.92</v>
      </c>
      <c r="I193" s="47">
        <f>I112+I140+I169+I192</f>
        <v>0</v>
      </c>
      <c r="J193" s="47">
        <f>J112+J140+J192</f>
        <v>85502.13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5631812.3200000003</v>
      </c>
      <c r="G197" s="18">
        <v>2446370.39</v>
      </c>
      <c r="H197" s="18">
        <v>6319.5</v>
      </c>
      <c r="I197" s="18">
        <v>237400.45</v>
      </c>
      <c r="J197" s="18">
        <v>75349.119999999995</v>
      </c>
      <c r="K197" s="18"/>
      <c r="L197" s="19">
        <f>SUM(F197:K197)</f>
        <v>8397251.7800000012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2310648.7999999998</v>
      </c>
      <c r="G198" s="18">
        <v>1050855.18</v>
      </c>
      <c r="H198" s="18">
        <v>710095.1</v>
      </c>
      <c r="I198" s="18">
        <v>24313.15</v>
      </c>
      <c r="J198" s="18">
        <v>7316.12</v>
      </c>
      <c r="K198" s="18">
        <v>969</v>
      </c>
      <c r="L198" s="19">
        <f>SUM(F198:K198)</f>
        <v>4104197.3499999996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18605.3</v>
      </c>
      <c r="G200" s="18">
        <v>1697.36</v>
      </c>
      <c r="H200" s="18">
        <v>55</v>
      </c>
      <c r="I200" s="18">
        <v>309.02</v>
      </c>
      <c r="J200" s="18"/>
      <c r="K200" s="18"/>
      <c r="L200" s="19">
        <f>SUM(F200:K200)</f>
        <v>20666.68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526764.59</v>
      </c>
      <c r="G202" s="18">
        <v>253923.73</v>
      </c>
      <c r="H202" s="18">
        <v>157465.5</v>
      </c>
      <c r="I202" s="18">
        <v>7276.7</v>
      </c>
      <c r="J202" s="18">
        <v>302.79000000000002</v>
      </c>
      <c r="K202" s="18">
        <v>40</v>
      </c>
      <c r="L202" s="19">
        <f t="shared" ref="L202:L208" si="0">SUM(F202:K202)</f>
        <v>945773.30999999994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350071.05</v>
      </c>
      <c r="G203" s="18">
        <v>218622.64</v>
      </c>
      <c r="H203" s="18">
        <v>35476.26</v>
      </c>
      <c r="I203" s="18">
        <v>85425.15</v>
      </c>
      <c r="J203" s="18">
        <v>17563.810000000001</v>
      </c>
      <c r="K203" s="18">
        <v>89</v>
      </c>
      <c r="L203" s="19">
        <f t="shared" si="0"/>
        <v>707247.91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206059.77</v>
      </c>
      <c r="G204" s="18">
        <v>97919.14</v>
      </c>
      <c r="H204" s="18">
        <v>60131.73</v>
      </c>
      <c r="I204" s="18">
        <v>12206.25</v>
      </c>
      <c r="J204" s="18">
        <v>379.11</v>
      </c>
      <c r="K204" s="18">
        <v>5101.54</v>
      </c>
      <c r="L204" s="19">
        <f t="shared" si="0"/>
        <v>381797.53999999992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738713.29</v>
      </c>
      <c r="G205" s="18">
        <v>382708.92</v>
      </c>
      <c r="H205" s="18">
        <v>132750.54</v>
      </c>
      <c r="I205" s="18">
        <v>11363.92</v>
      </c>
      <c r="J205" s="18">
        <v>16413.439999999999</v>
      </c>
      <c r="K205" s="18">
        <v>2584.5</v>
      </c>
      <c r="L205" s="19">
        <f t="shared" si="0"/>
        <v>1284534.6099999999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139269.89000000001</v>
      </c>
      <c r="G206" s="18">
        <v>59912.05</v>
      </c>
      <c r="H206" s="18">
        <v>15618.56</v>
      </c>
      <c r="I206" s="18">
        <v>7282.17</v>
      </c>
      <c r="J206" s="18">
        <v>253.18</v>
      </c>
      <c r="K206" s="18">
        <v>10379.51</v>
      </c>
      <c r="L206" s="19">
        <f t="shared" si="0"/>
        <v>232715.36000000002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689842.29</v>
      </c>
      <c r="G207" s="18">
        <v>303659.99</v>
      </c>
      <c r="H207" s="18">
        <v>428088.94</v>
      </c>
      <c r="I207" s="18">
        <v>493661</v>
      </c>
      <c r="J207" s="18">
        <v>15096.07</v>
      </c>
      <c r="K207" s="18"/>
      <c r="L207" s="19">
        <f t="shared" si="0"/>
        <v>1930348.29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817210.13</v>
      </c>
      <c r="G208" s="18">
        <v>265971.96999999997</v>
      </c>
      <c r="H208" s="18">
        <v>89288</v>
      </c>
      <c r="I208" s="18">
        <v>101821.69</v>
      </c>
      <c r="J208" s="18">
        <v>108617.3</v>
      </c>
      <c r="K208" s="18"/>
      <c r="L208" s="19">
        <f t="shared" si="0"/>
        <v>1382909.09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11428997.430000002</v>
      </c>
      <c r="G211" s="41">
        <f t="shared" si="1"/>
        <v>5081641.37</v>
      </c>
      <c r="H211" s="41">
        <f t="shared" si="1"/>
        <v>1635289.13</v>
      </c>
      <c r="I211" s="41">
        <f t="shared" si="1"/>
        <v>981059.5</v>
      </c>
      <c r="J211" s="41">
        <f t="shared" si="1"/>
        <v>241290.94</v>
      </c>
      <c r="K211" s="41">
        <f t="shared" si="1"/>
        <v>19163.550000000003</v>
      </c>
      <c r="L211" s="41">
        <f t="shared" si="1"/>
        <v>19387441.919999998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2125920.69</v>
      </c>
      <c r="G215" s="18">
        <v>1120696.49</v>
      </c>
      <c r="H215" s="18">
        <v>18043.98</v>
      </c>
      <c r="I215" s="18">
        <v>66844.039999999994</v>
      </c>
      <c r="J215" s="18">
        <v>123002.33</v>
      </c>
      <c r="K215" s="18">
        <v>94.99</v>
      </c>
      <c r="L215" s="19">
        <f>SUM(F215:K215)</f>
        <v>3454602.52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859978.87</v>
      </c>
      <c r="G216" s="18">
        <v>364045.14</v>
      </c>
      <c r="H216" s="18">
        <v>32591.69</v>
      </c>
      <c r="I216" s="18">
        <v>6381.15</v>
      </c>
      <c r="J216" s="18">
        <v>3423.82</v>
      </c>
      <c r="K216" s="18">
        <v>323.64999999999998</v>
      </c>
      <c r="L216" s="19">
        <f>SUM(F216:K216)</f>
        <v>1266744.3199999998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59099.38</v>
      </c>
      <c r="G218" s="18">
        <v>9845.6299999999992</v>
      </c>
      <c r="H218" s="18">
        <v>12516.03</v>
      </c>
      <c r="I218" s="18">
        <v>7340.16</v>
      </c>
      <c r="J218" s="18">
        <v>9621.7099999999991</v>
      </c>
      <c r="K218" s="18"/>
      <c r="L218" s="19">
        <f>SUM(F218:K218)</f>
        <v>98422.91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126160.51</v>
      </c>
      <c r="G220" s="18">
        <v>81954.649999999994</v>
      </c>
      <c r="H220" s="18">
        <v>54445.09</v>
      </c>
      <c r="I220" s="18">
        <v>2474.39</v>
      </c>
      <c r="J220" s="18">
        <v>2944.37</v>
      </c>
      <c r="K220" s="18">
        <v>474.4</v>
      </c>
      <c r="L220" s="19">
        <f t="shared" ref="L220:L226" si="2">SUM(F220:K220)</f>
        <v>268453.41000000003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78359.31</v>
      </c>
      <c r="G221" s="18">
        <v>68428.88</v>
      </c>
      <c r="H221" s="18">
        <v>12695.83</v>
      </c>
      <c r="I221" s="18">
        <v>29119.97</v>
      </c>
      <c r="J221" s="18">
        <v>15721.32</v>
      </c>
      <c r="K221" s="18"/>
      <c r="L221" s="19">
        <f t="shared" si="2"/>
        <v>204325.31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67994.929999999993</v>
      </c>
      <c r="G222" s="18">
        <v>33651.519999999997</v>
      </c>
      <c r="H222" s="18">
        <v>19952.13</v>
      </c>
      <c r="I222" s="18">
        <v>4076.89</v>
      </c>
      <c r="J222" s="18">
        <v>126.62</v>
      </c>
      <c r="K222" s="18">
        <v>1703.92</v>
      </c>
      <c r="L222" s="19">
        <f t="shared" si="2"/>
        <v>127506.00999999998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261498.13</v>
      </c>
      <c r="G223" s="18">
        <v>134203.84</v>
      </c>
      <c r="H223" s="18">
        <v>41431.47</v>
      </c>
      <c r="I223" s="18">
        <v>3915.09</v>
      </c>
      <c r="J223" s="18">
        <v>2149.63</v>
      </c>
      <c r="K223" s="18">
        <v>2213.4899999999998</v>
      </c>
      <c r="L223" s="19">
        <f t="shared" si="2"/>
        <v>445411.64999999997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47361.84</v>
      </c>
      <c r="G224" s="18">
        <v>20020.8</v>
      </c>
      <c r="H224" s="18">
        <v>5216.6000000000004</v>
      </c>
      <c r="I224" s="18">
        <v>2432.25</v>
      </c>
      <c r="J224" s="18">
        <v>84.56</v>
      </c>
      <c r="K224" s="18">
        <v>3466.75</v>
      </c>
      <c r="L224" s="19">
        <f t="shared" si="2"/>
        <v>78582.8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160792.23000000001</v>
      </c>
      <c r="G225" s="18">
        <v>93258.77</v>
      </c>
      <c r="H225" s="18">
        <v>111109.57</v>
      </c>
      <c r="I225" s="18">
        <v>145917.84</v>
      </c>
      <c r="J225" s="18">
        <v>1703.58</v>
      </c>
      <c r="K225" s="18"/>
      <c r="L225" s="19">
        <f t="shared" si="2"/>
        <v>512781.99000000005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46610.53</v>
      </c>
      <c r="G226" s="18">
        <v>93147.8</v>
      </c>
      <c r="H226" s="18">
        <v>29261.07</v>
      </c>
      <c r="I226" s="18">
        <v>42620.88</v>
      </c>
      <c r="J226" s="18">
        <v>36278.18</v>
      </c>
      <c r="K226" s="18"/>
      <c r="L226" s="19">
        <f t="shared" si="2"/>
        <v>247918.46000000002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3833776.4199999995</v>
      </c>
      <c r="G229" s="41">
        <f>SUM(G215:G228)</f>
        <v>2019253.5199999998</v>
      </c>
      <c r="H229" s="41">
        <f>SUM(H215:H228)</f>
        <v>337263.46</v>
      </c>
      <c r="I229" s="41">
        <f>SUM(I215:I228)</f>
        <v>311122.65999999997</v>
      </c>
      <c r="J229" s="41">
        <f>SUM(J215:J228)</f>
        <v>195056.12</v>
      </c>
      <c r="K229" s="41">
        <f t="shared" si="3"/>
        <v>8277.2000000000007</v>
      </c>
      <c r="L229" s="41">
        <f t="shared" si="3"/>
        <v>6704749.3799999999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3090018.3</v>
      </c>
      <c r="G233" s="18">
        <v>1805021.99</v>
      </c>
      <c r="H233" s="18">
        <v>232837.21</v>
      </c>
      <c r="I233" s="18">
        <v>146673.70000000001</v>
      </c>
      <c r="J233" s="18">
        <v>99296.42</v>
      </c>
      <c r="K233" s="18"/>
      <c r="L233" s="19">
        <f>SUM(F233:K233)</f>
        <v>5373847.6200000001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735753.57</v>
      </c>
      <c r="G234" s="18">
        <v>549001.01</v>
      </c>
      <c r="H234" s="18">
        <v>346064.37</v>
      </c>
      <c r="I234" s="18">
        <v>9830.99</v>
      </c>
      <c r="J234" s="18">
        <v>1249.3699999999999</v>
      </c>
      <c r="K234" s="18">
        <v>645.35</v>
      </c>
      <c r="L234" s="19">
        <f>SUM(F234:K234)</f>
        <v>1642544.6600000004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693580.49</v>
      </c>
      <c r="G235" s="18">
        <v>341406.34</v>
      </c>
      <c r="H235" s="18">
        <v>10207.77</v>
      </c>
      <c r="I235" s="18">
        <v>42013.17</v>
      </c>
      <c r="J235" s="18">
        <v>26696</v>
      </c>
      <c r="K235" s="18">
        <v>725</v>
      </c>
      <c r="L235" s="19">
        <f>SUM(F235:K235)</f>
        <v>1114628.77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316506.67</v>
      </c>
      <c r="G236" s="18">
        <v>51888.82</v>
      </c>
      <c r="H236" s="18">
        <v>93972.59</v>
      </c>
      <c r="I236" s="18">
        <v>16570.669999999998</v>
      </c>
      <c r="J236" s="18">
        <v>46764.7</v>
      </c>
      <c r="K236" s="18">
        <v>11283.69</v>
      </c>
      <c r="L236" s="19">
        <f>SUM(F236:K236)</f>
        <v>536987.1399999999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403977.81</v>
      </c>
      <c r="G238" s="18">
        <v>187706.5</v>
      </c>
      <c r="H238" s="18">
        <v>54063.49</v>
      </c>
      <c r="I238" s="18">
        <v>7822.56</v>
      </c>
      <c r="J238" s="18">
        <v>1336.05</v>
      </c>
      <c r="K238" s="18">
        <v>25</v>
      </c>
      <c r="L238" s="19">
        <f t="shared" ref="L238:L244" si="4">SUM(F238:K238)</f>
        <v>654931.41000000015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188272.76</v>
      </c>
      <c r="G239" s="18">
        <v>136855.76999999999</v>
      </c>
      <c r="H239" s="18">
        <v>31750.39</v>
      </c>
      <c r="I239" s="18">
        <v>58214.6</v>
      </c>
      <c r="J239" s="18">
        <v>27452.35</v>
      </c>
      <c r="K239" s="18">
        <v>2035.75</v>
      </c>
      <c r="L239" s="19">
        <f t="shared" si="4"/>
        <v>444581.62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132024.79999999999</v>
      </c>
      <c r="G240" s="18">
        <v>63930.59</v>
      </c>
      <c r="H240" s="18">
        <v>39784.800000000003</v>
      </c>
      <c r="I240" s="18">
        <v>8129.36</v>
      </c>
      <c r="J240" s="18">
        <v>252.49</v>
      </c>
      <c r="K240" s="18">
        <v>3397.63</v>
      </c>
      <c r="L240" s="19">
        <f t="shared" si="4"/>
        <v>247519.66999999998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423543.89</v>
      </c>
      <c r="G241" s="18">
        <v>240543.57</v>
      </c>
      <c r="H241" s="18">
        <v>97330.91</v>
      </c>
      <c r="I241" s="18">
        <v>24480.05</v>
      </c>
      <c r="J241" s="18">
        <v>783.09</v>
      </c>
      <c r="K241" s="18">
        <v>3265</v>
      </c>
      <c r="L241" s="19">
        <f t="shared" si="4"/>
        <v>789946.51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91937.27</v>
      </c>
      <c r="G242" s="18">
        <v>39595.54</v>
      </c>
      <c r="H242" s="18">
        <v>10401.969999999999</v>
      </c>
      <c r="I242" s="18">
        <v>8314.42</v>
      </c>
      <c r="J242" s="18">
        <v>168.62</v>
      </c>
      <c r="K242" s="18">
        <v>6912.75</v>
      </c>
      <c r="L242" s="19">
        <f t="shared" si="4"/>
        <v>157330.57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400371.11</v>
      </c>
      <c r="G243" s="18">
        <v>195972.26</v>
      </c>
      <c r="H243" s="18">
        <v>401782.31</v>
      </c>
      <c r="I243" s="18">
        <v>344442.83</v>
      </c>
      <c r="J243" s="18">
        <v>6125.06</v>
      </c>
      <c r="K243" s="18"/>
      <c r="L243" s="19">
        <f t="shared" si="4"/>
        <v>1348693.57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105414.41</v>
      </c>
      <c r="G244" s="18">
        <v>62453.599999999999</v>
      </c>
      <c r="H244" s="18">
        <v>98777.66</v>
      </c>
      <c r="I244" s="18">
        <v>92024.320000000007</v>
      </c>
      <c r="J244" s="18">
        <v>72339.12</v>
      </c>
      <c r="K244" s="18"/>
      <c r="L244" s="19">
        <f t="shared" si="4"/>
        <v>431009.11000000004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6581401.0799999982</v>
      </c>
      <c r="G247" s="41">
        <f t="shared" si="5"/>
        <v>3674375.9899999998</v>
      </c>
      <c r="H247" s="41">
        <f t="shared" si="5"/>
        <v>1416973.47</v>
      </c>
      <c r="I247" s="41">
        <f t="shared" si="5"/>
        <v>758516.66999999993</v>
      </c>
      <c r="J247" s="41">
        <f t="shared" si="5"/>
        <v>282463.26999999996</v>
      </c>
      <c r="K247" s="41">
        <f t="shared" si="5"/>
        <v>28290.170000000002</v>
      </c>
      <c r="L247" s="41">
        <f t="shared" si="5"/>
        <v>12742020.65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3320.75</v>
      </c>
      <c r="G251" s="18">
        <v>526.54</v>
      </c>
      <c r="H251" s="18"/>
      <c r="I251" s="18"/>
      <c r="J251" s="18"/>
      <c r="K251" s="18"/>
      <c r="L251" s="19">
        <f t="shared" si="6"/>
        <v>3847.29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>
        <v>4843.0600000000004</v>
      </c>
      <c r="J253" s="18"/>
      <c r="K253" s="18"/>
      <c r="L253" s="19">
        <f t="shared" si="6"/>
        <v>4843.0600000000004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199690.73</v>
      </c>
      <c r="K255" s="18"/>
      <c r="L255" s="19">
        <f t="shared" si="6"/>
        <v>199690.73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3320.75</v>
      </c>
      <c r="G256" s="41">
        <f t="shared" si="7"/>
        <v>526.54</v>
      </c>
      <c r="H256" s="41">
        <f t="shared" si="7"/>
        <v>0</v>
      </c>
      <c r="I256" s="41">
        <f t="shared" si="7"/>
        <v>4843.0600000000004</v>
      </c>
      <c r="J256" s="41">
        <f t="shared" si="7"/>
        <v>199690.73</v>
      </c>
      <c r="K256" s="41">
        <f t="shared" si="7"/>
        <v>0</v>
      </c>
      <c r="L256" s="41">
        <f>SUM(F256:K256)</f>
        <v>208381.08000000002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21847495.68</v>
      </c>
      <c r="G257" s="41">
        <f t="shared" si="8"/>
        <v>10775797.419999998</v>
      </c>
      <c r="H257" s="41">
        <f t="shared" si="8"/>
        <v>3389526.0599999996</v>
      </c>
      <c r="I257" s="41">
        <f t="shared" si="8"/>
        <v>2055541.89</v>
      </c>
      <c r="J257" s="41">
        <f t="shared" si="8"/>
        <v>918501.05999999994</v>
      </c>
      <c r="K257" s="41">
        <f t="shared" si="8"/>
        <v>55730.920000000006</v>
      </c>
      <c r="L257" s="41">
        <f t="shared" si="8"/>
        <v>39042593.029999994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2923441.09</v>
      </c>
      <c r="L260" s="19">
        <f>SUM(F260:K260)</f>
        <v>2923441.09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677247.16</v>
      </c>
      <c r="L261" s="19">
        <f>SUM(F261:K261)</f>
        <v>677247.16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3660688.25</v>
      </c>
      <c r="L270" s="41">
        <f t="shared" si="9"/>
        <v>3660688.25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21847495.68</v>
      </c>
      <c r="G271" s="42">
        <f t="shared" si="11"/>
        <v>10775797.419999998</v>
      </c>
      <c r="H271" s="42">
        <f t="shared" si="11"/>
        <v>3389526.0599999996</v>
      </c>
      <c r="I271" s="42">
        <f t="shared" si="11"/>
        <v>2055541.89</v>
      </c>
      <c r="J271" s="42">
        <f t="shared" si="11"/>
        <v>918501.05999999994</v>
      </c>
      <c r="K271" s="42">
        <f t="shared" si="11"/>
        <v>3716419.17</v>
      </c>
      <c r="L271" s="42">
        <f t="shared" si="11"/>
        <v>42703281.279999994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313851.57</v>
      </c>
      <c r="G276" s="18">
        <v>170281.94</v>
      </c>
      <c r="H276" s="18">
        <v>1658.3</v>
      </c>
      <c r="I276" s="18">
        <v>38728.639999999999</v>
      </c>
      <c r="J276" s="18">
        <v>13849.95</v>
      </c>
      <c r="K276" s="18"/>
      <c r="L276" s="19">
        <f>SUM(F276:K276)</f>
        <v>538370.39999999991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124332.96</v>
      </c>
      <c r="G277" s="18">
        <v>86235.82</v>
      </c>
      <c r="H277" s="18"/>
      <c r="I277" s="18">
        <v>2032.34</v>
      </c>
      <c r="J277" s="18">
        <v>16533.84</v>
      </c>
      <c r="K277" s="18"/>
      <c r="L277" s="19">
        <f>SUM(F277:K277)</f>
        <v>229134.96000000002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20797.5</v>
      </c>
      <c r="G279" s="18">
        <v>4535.92</v>
      </c>
      <c r="H279" s="18"/>
      <c r="I279" s="18">
        <v>1076.26</v>
      </c>
      <c r="J279" s="18"/>
      <c r="K279" s="18"/>
      <c r="L279" s="19">
        <f>SUM(F279:K279)</f>
        <v>26409.679999999997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73500.149999999994</v>
      </c>
      <c r="G282" s="18">
        <v>26334.55</v>
      </c>
      <c r="H282" s="18">
        <v>62232.06</v>
      </c>
      <c r="I282" s="18">
        <v>5374.19</v>
      </c>
      <c r="J282" s="18"/>
      <c r="K282" s="18"/>
      <c r="L282" s="19">
        <f t="shared" si="12"/>
        <v>167440.95000000001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19500</v>
      </c>
      <c r="I287" s="18"/>
      <c r="J287" s="18"/>
      <c r="K287" s="18"/>
      <c r="L287" s="19">
        <f t="shared" si="12"/>
        <v>19500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532482.18000000005</v>
      </c>
      <c r="G290" s="42">
        <f t="shared" si="13"/>
        <v>287388.23000000004</v>
      </c>
      <c r="H290" s="42">
        <f t="shared" si="13"/>
        <v>83390.36</v>
      </c>
      <c r="I290" s="42">
        <f t="shared" si="13"/>
        <v>47211.43</v>
      </c>
      <c r="J290" s="42">
        <f t="shared" si="13"/>
        <v>30383.79</v>
      </c>
      <c r="K290" s="42">
        <f t="shared" si="13"/>
        <v>0</v>
      </c>
      <c r="L290" s="41">
        <f t="shared" si="13"/>
        <v>980855.99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524.57000000000005</v>
      </c>
      <c r="I295" s="18">
        <v>5319.11</v>
      </c>
      <c r="J295" s="18"/>
      <c r="K295" s="18"/>
      <c r="L295" s="19">
        <f>SUM(F295:K295)</f>
        <v>5843.6799999999994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41527.21</v>
      </c>
      <c r="G296" s="18">
        <v>28802.76</v>
      </c>
      <c r="H296" s="18"/>
      <c r="I296" s="18">
        <v>678.8</v>
      </c>
      <c r="J296" s="18">
        <v>5522.3</v>
      </c>
      <c r="K296" s="18"/>
      <c r="L296" s="19">
        <f>SUM(F296:K296)</f>
        <v>76531.070000000007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14052.72</v>
      </c>
      <c r="G301" s="18">
        <v>4128.9399999999996</v>
      </c>
      <c r="H301" s="18">
        <v>19487.18</v>
      </c>
      <c r="I301" s="18">
        <v>1185.03</v>
      </c>
      <c r="J301" s="18"/>
      <c r="K301" s="18"/>
      <c r="L301" s="19">
        <f t="shared" si="14"/>
        <v>38853.869999999995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1002</v>
      </c>
      <c r="I306" s="18"/>
      <c r="J306" s="18"/>
      <c r="K306" s="18"/>
      <c r="L306" s="19">
        <f t="shared" si="14"/>
        <v>1002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55579.93</v>
      </c>
      <c r="G309" s="42">
        <f t="shared" si="15"/>
        <v>32931.699999999997</v>
      </c>
      <c r="H309" s="42">
        <f t="shared" si="15"/>
        <v>21013.75</v>
      </c>
      <c r="I309" s="42">
        <f t="shared" si="15"/>
        <v>7182.94</v>
      </c>
      <c r="J309" s="42">
        <f t="shared" si="15"/>
        <v>5522.3</v>
      </c>
      <c r="K309" s="42">
        <f t="shared" si="15"/>
        <v>0</v>
      </c>
      <c r="L309" s="41">
        <f t="shared" si="15"/>
        <v>122230.62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1045.99</v>
      </c>
      <c r="I314" s="18">
        <v>10606.38</v>
      </c>
      <c r="J314" s="18"/>
      <c r="K314" s="18"/>
      <c r="L314" s="19">
        <f>SUM(F314:K314)</f>
        <v>11652.369999999999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82805.75</v>
      </c>
      <c r="G315" s="18">
        <v>57433.06</v>
      </c>
      <c r="H315" s="18"/>
      <c r="I315" s="18">
        <v>1353.54</v>
      </c>
      <c r="J315" s="18">
        <v>11011.54</v>
      </c>
      <c r="K315" s="18"/>
      <c r="L315" s="19">
        <f>SUM(F315:K315)</f>
        <v>152603.89000000001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60019.07</v>
      </c>
      <c r="G316" s="18">
        <v>27173.4</v>
      </c>
      <c r="H316" s="18">
        <v>8500.2800000000007</v>
      </c>
      <c r="I316" s="18"/>
      <c r="J316" s="18">
        <v>34281.74</v>
      </c>
      <c r="K316" s="18"/>
      <c r="L316" s="19">
        <f>SUM(F316:K316)</f>
        <v>129974.48999999999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28021.279999999999</v>
      </c>
      <c r="G320" s="18">
        <v>8233.16</v>
      </c>
      <c r="H320" s="18">
        <v>38857.660000000003</v>
      </c>
      <c r="I320" s="18">
        <v>2362.9699999999998</v>
      </c>
      <c r="J320" s="18"/>
      <c r="K320" s="18">
        <v>4092.1</v>
      </c>
      <c r="L320" s="19">
        <f t="shared" si="16"/>
        <v>81567.170000000013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1998</v>
      </c>
      <c r="I325" s="18"/>
      <c r="J325" s="18"/>
      <c r="K325" s="18"/>
      <c r="L325" s="19">
        <f t="shared" si="16"/>
        <v>1998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170846.1</v>
      </c>
      <c r="G328" s="42">
        <f t="shared" si="17"/>
        <v>92839.62</v>
      </c>
      <c r="H328" s="42">
        <f t="shared" si="17"/>
        <v>50401.930000000008</v>
      </c>
      <c r="I328" s="42">
        <f t="shared" si="17"/>
        <v>14322.889999999998</v>
      </c>
      <c r="J328" s="42">
        <f t="shared" si="17"/>
        <v>45293.279999999999</v>
      </c>
      <c r="K328" s="42">
        <f t="shared" si="17"/>
        <v>4092.1</v>
      </c>
      <c r="L328" s="41">
        <f t="shared" si="17"/>
        <v>377795.92000000004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2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274">
        <v>59605.5</v>
      </c>
      <c r="G333" s="274">
        <v>31198.06</v>
      </c>
      <c r="H333" s="274">
        <v>22012.899999999998</v>
      </c>
      <c r="I333" s="274">
        <v>6017.78</v>
      </c>
      <c r="J333" s="18"/>
      <c r="K333" s="274">
        <v>1155.1500000000001</v>
      </c>
      <c r="L333" s="19">
        <f t="shared" si="18"/>
        <v>119989.38999999998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2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274">
        <v>50846.57</v>
      </c>
      <c r="G335" s="274">
        <v>35428.43</v>
      </c>
      <c r="H335" s="274">
        <v>1000</v>
      </c>
      <c r="I335" s="18"/>
      <c r="J335" s="18"/>
      <c r="K335" s="18"/>
      <c r="L335" s="19">
        <f t="shared" si="18"/>
        <v>87275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110452.07</v>
      </c>
      <c r="G337" s="41">
        <f t="shared" si="19"/>
        <v>66626.490000000005</v>
      </c>
      <c r="H337" s="41">
        <f t="shared" si="19"/>
        <v>23012.899999999998</v>
      </c>
      <c r="I337" s="41">
        <f t="shared" si="19"/>
        <v>6017.78</v>
      </c>
      <c r="J337" s="41">
        <f t="shared" si="19"/>
        <v>0</v>
      </c>
      <c r="K337" s="41">
        <f t="shared" si="19"/>
        <v>1155.1500000000001</v>
      </c>
      <c r="L337" s="41">
        <f t="shared" si="18"/>
        <v>207264.38999999998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869360.28</v>
      </c>
      <c r="G338" s="41">
        <f t="shared" si="20"/>
        <v>479786.04000000004</v>
      </c>
      <c r="H338" s="41">
        <f t="shared" si="20"/>
        <v>177818.94</v>
      </c>
      <c r="I338" s="41">
        <f t="shared" si="20"/>
        <v>74735.039999999994</v>
      </c>
      <c r="J338" s="41">
        <f t="shared" si="20"/>
        <v>81199.37</v>
      </c>
      <c r="K338" s="41">
        <f t="shared" si="20"/>
        <v>5247.25</v>
      </c>
      <c r="L338" s="41">
        <f t="shared" si="20"/>
        <v>1688146.9199999997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869360.28</v>
      </c>
      <c r="G352" s="41">
        <f>G338</f>
        <v>479786.04000000004</v>
      </c>
      <c r="H352" s="41">
        <f>H338</f>
        <v>177818.94</v>
      </c>
      <c r="I352" s="41">
        <f>I338</f>
        <v>74735.039999999994</v>
      </c>
      <c r="J352" s="41">
        <f>J338</f>
        <v>81199.37</v>
      </c>
      <c r="K352" s="47">
        <f>K338+K351</f>
        <v>5247.25</v>
      </c>
      <c r="L352" s="41">
        <f>L338+L351</f>
        <v>1688146.9199999997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175567.54</v>
      </c>
      <c r="G358" s="18">
        <v>16198.72</v>
      </c>
      <c r="H358" s="18">
        <v>4954.12</v>
      </c>
      <c r="I358" s="18">
        <v>210181.6</v>
      </c>
      <c r="J358" s="18">
        <v>489.57</v>
      </c>
      <c r="K358" s="18"/>
      <c r="L358" s="13">
        <f>SUM(F358:K358)</f>
        <v>407391.55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48502.41</v>
      </c>
      <c r="G359" s="18">
        <v>7152.19</v>
      </c>
      <c r="H359" s="18">
        <v>1654.68</v>
      </c>
      <c r="I359" s="18">
        <v>70200.66</v>
      </c>
      <c r="J359" s="18">
        <v>163.51</v>
      </c>
      <c r="K359" s="18"/>
      <c r="L359" s="19">
        <f>SUM(F359:K359)</f>
        <v>127673.45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234241.15</v>
      </c>
      <c r="G360" s="18">
        <v>34272.14</v>
      </c>
      <c r="H360" s="18">
        <v>3299.45</v>
      </c>
      <c r="I360" s="18">
        <v>139980.95000000001</v>
      </c>
      <c r="J360" s="18">
        <v>326.05</v>
      </c>
      <c r="K360" s="18"/>
      <c r="L360" s="19">
        <f>SUM(F360:K360)</f>
        <v>412119.74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458311.1</v>
      </c>
      <c r="G362" s="47">
        <f t="shared" si="22"/>
        <v>57623.05</v>
      </c>
      <c r="H362" s="47">
        <f t="shared" si="22"/>
        <v>9908.25</v>
      </c>
      <c r="I362" s="47">
        <f t="shared" si="22"/>
        <v>420363.21</v>
      </c>
      <c r="J362" s="47">
        <f t="shared" si="22"/>
        <v>979.12999999999988</v>
      </c>
      <c r="K362" s="47">
        <f t="shared" si="22"/>
        <v>0</v>
      </c>
      <c r="L362" s="47">
        <f t="shared" si="22"/>
        <v>947184.74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201477.74</v>
      </c>
      <c r="G367" s="18">
        <v>80591.09</v>
      </c>
      <c r="H367" s="18">
        <v>120886.64</v>
      </c>
      <c r="I367" s="56">
        <f>SUM(F367:H367)</f>
        <v>402955.47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8703.8700000000008</v>
      </c>
      <c r="G368" s="63">
        <v>3481.55</v>
      </c>
      <c r="H368" s="63">
        <v>5222.32</v>
      </c>
      <c r="I368" s="56">
        <f>SUM(F368:H368)</f>
        <v>17407.740000000002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210181.61</v>
      </c>
      <c r="G369" s="47">
        <f>SUM(G367:G368)</f>
        <v>84072.639999999999</v>
      </c>
      <c r="H369" s="47">
        <f>SUM(H367:H368)</f>
        <v>126108.95999999999</v>
      </c>
      <c r="I369" s="47">
        <f>SUM(I367:I368)</f>
        <v>420363.20999999996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>
        <v>235533.88</v>
      </c>
      <c r="K379" s="18"/>
      <c r="L379" s="13">
        <f t="shared" si="23"/>
        <v>235533.88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235533.88</v>
      </c>
      <c r="K382" s="47">
        <f t="shared" si="24"/>
        <v>0</v>
      </c>
      <c r="L382" s="47">
        <f t="shared" si="24"/>
        <v>235533.88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48.34</v>
      </c>
      <c r="I395" s="18"/>
      <c r="J395" s="24" t="s">
        <v>289</v>
      </c>
      <c r="K395" s="24" t="s">
        <v>289</v>
      </c>
      <c r="L395" s="56">
        <f t="shared" ref="L395:L400" si="26">SUM(F395:K395)</f>
        <v>48.34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2287.9299999999998</v>
      </c>
      <c r="I396" s="18"/>
      <c r="J396" s="24" t="s">
        <v>289</v>
      </c>
      <c r="K396" s="24" t="s">
        <v>289</v>
      </c>
      <c r="L396" s="56">
        <f t="shared" si="26"/>
        <v>2287.9299999999998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2429.2399999999998</v>
      </c>
      <c r="I397" s="18"/>
      <c r="J397" s="24" t="s">
        <v>289</v>
      </c>
      <c r="K397" s="24" t="s">
        <v>289</v>
      </c>
      <c r="L397" s="56">
        <f t="shared" si="26"/>
        <v>2429.2399999999998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60000</v>
      </c>
      <c r="H400" s="18">
        <v>20636.62</v>
      </c>
      <c r="I400" s="18">
        <v>100</v>
      </c>
      <c r="J400" s="24" t="s">
        <v>289</v>
      </c>
      <c r="K400" s="24" t="s">
        <v>289</v>
      </c>
      <c r="L400" s="56">
        <f t="shared" si="26"/>
        <v>80736.62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25402.129999999997</v>
      </c>
      <c r="I401" s="47">
        <f>SUM(I395:I400)</f>
        <v>100</v>
      </c>
      <c r="J401" s="45" t="s">
        <v>289</v>
      </c>
      <c r="K401" s="45" t="s">
        <v>289</v>
      </c>
      <c r="L401" s="47">
        <f>SUM(L395:L400)</f>
        <v>85502.12999999999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25402.129999999997</v>
      </c>
      <c r="I408" s="47">
        <f>I393+I401+I407</f>
        <v>100</v>
      </c>
      <c r="J408" s="24" t="s">
        <v>289</v>
      </c>
      <c r="K408" s="24" t="s">
        <v>289</v>
      </c>
      <c r="L408" s="47">
        <f>L393+L401+L407</f>
        <v>85502.12999999999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18824.11</v>
      </c>
      <c r="L426" s="56">
        <f t="shared" si="29"/>
        <v>18824.11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18824.11</v>
      </c>
      <c r="L427" s="47">
        <f t="shared" si="30"/>
        <v>18824.11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18824.11</v>
      </c>
      <c r="L434" s="47">
        <f t="shared" si="32"/>
        <v>18824.11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43989.91</v>
      </c>
      <c r="H441" s="18"/>
      <c r="I441" s="56">
        <f t="shared" si="33"/>
        <v>43989.91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1267252.46</v>
      </c>
      <c r="H442" s="18"/>
      <c r="I442" s="56">
        <f t="shared" si="33"/>
        <v>1267252.46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1311242.3699999999</v>
      </c>
      <c r="H446" s="13">
        <f>SUM(H439:H445)</f>
        <v>0</v>
      </c>
      <c r="I446" s="13">
        <f>SUM(I439:I445)</f>
        <v>1311242.3699999999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1311242.3700000001</v>
      </c>
      <c r="H459" s="18"/>
      <c r="I459" s="56">
        <f t="shared" si="34"/>
        <v>1311242.3700000001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1311242.3700000001</v>
      </c>
      <c r="H460" s="83">
        <f>SUM(H454:H459)</f>
        <v>0</v>
      </c>
      <c r="I460" s="83">
        <f>SUM(I454:I459)</f>
        <v>1311242.3700000001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1311242.3700000001</v>
      </c>
      <c r="H461" s="42">
        <f>H452+H460</f>
        <v>0</v>
      </c>
      <c r="I461" s="42">
        <f>I452+I460</f>
        <v>1311242.3700000001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2149081.94</v>
      </c>
      <c r="G465" s="18">
        <v>8037.6</v>
      </c>
      <c r="H465" s="18">
        <v>0</v>
      </c>
      <c r="I465" s="18">
        <v>350170.6</v>
      </c>
      <c r="J465" s="18">
        <v>1244564.3500000001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43457312.030000001</v>
      </c>
      <c r="G468" s="18">
        <v>972096.3</v>
      </c>
      <c r="H468" s="18">
        <v>1688146.92</v>
      </c>
      <c r="I468" s="18">
        <v>0</v>
      </c>
      <c r="J468" s="18">
        <v>85502.13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43457312.030000001</v>
      </c>
      <c r="G470" s="53">
        <f>SUM(G468:G469)</f>
        <v>972096.3</v>
      </c>
      <c r="H470" s="53">
        <f>SUM(H468:H469)</f>
        <v>1688146.92</v>
      </c>
      <c r="I470" s="53">
        <f>SUM(I468:I469)</f>
        <v>0</v>
      </c>
      <c r="J470" s="53">
        <f>SUM(J468:J469)</f>
        <v>85502.13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42703281.280000001</v>
      </c>
      <c r="G472" s="18">
        <v>947184.74</v>
      </c>
      <c r="H472" s="18">
        <v>1688146.92</v>
      </c>
      <c r="I472" s="18">
        <v>235533.88</v>
      </c>
      <c r="J472" s="18">
        <v>18824.11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42703281.280000001</v>
      </c>
      <c r="G474" s="53">
        <f>SUM(G472:G473)</f>
        <v>947184.74</v>
      </c>
      <c r="H474" s="53">
        <f>SUM(H472:H473)</f>
        <v>1688146.92</v>
      </c>
      <c r="I474" s="53">
        <f>SUM(I472:I473)</f>
        <v>235533.88</v>
      </c>
      <c r="J474" s="53">
        <f>SUM(J472:J473)</f>
        <v>18824.11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2903112.6899999976</v>
      </c>
      <c r="G476" s="53">
        <f>(G465+G470)- G474</f>
        <v>32949.160000000033</v>
      </c>
      <c r="H476" s="53">
        <f>(H465+H470)- H474</f>
        <v>0</v>
      </c>
      <c r="I476" s="53">
        <f>(I465+I470)- I474</f>
        <v>114636.71999999997</v>
      </c>
      <c r="J476" s="53">
        <f>(J465+J470)- J474</f>
        <v>1311242.3699999999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30</v>
      </c>
      <c r="G490" s="154">
        <v>30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25000000</v>
      </c>
      <c r="G493" s="18">
        <v>325508500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</v>
      </c>
      <c r="G494" s="18">
        <v>4.46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19332844.170000002</v>
      </c>
      <c r="G495" s="18">
        <v>25986520.359999999</v>
      </c>
      <c r="H495" s="18"/>
      <c r="I495" s="18"/>
      <c r="J495" s="18"/>
      <c r="K495" s="53">
        <f>SUM(F495:J495)</f>
        <v>45319364.530000001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F495-F498</f>
        <v>1208963.6900000013</v>
      </c>
      <c r="G497" s="18">
        <f>G495-G498</f>
        <v>1714477.3999999985</v>
      </c>
      <c r="H497" s="18"/>
      <c r="I497" s="18"/>
      <c r="J497" s="18"/>
      <c r="K497" s="53">
        <f t="shared" si="35"/>
        <v>2923441.09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18123880.48</v>
      </c>
      <c r="G498" s="204">
        <v>24272042.960000001</v>
      </c>
      <c r="H498" s="204"/>
      <c r="I498" s="204"/>
      <c r="J498" s="204"/>
      <c r="K498" s="205">
        <f t="shared" si="35"/>
        <v>42395923.439999998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19305417.059999999</v>
      </c>
      <c r="G499" s="18">
        <v>28334838.289999999</v>
      </c>
      <c r="H499" s="18"/>
      <c r="I499" s="18"/>
      <c r="J499" s="18"/>
      <c r="K499" s="53">
        <f t="shared" si="35"/>
        <v>47640255.349999994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37429297.539999999</v>
      </c>
      <c r="G500" s="42">
        <f>SUM(G498:G499)</f>
        <v>52606881.25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90036178.789999992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1161713.93</v>
      </c>
      <c r="G501" s="204">
        <v>1631938.06</v>
      </c>
      <c r="H501" s="204"/>
      <c r="I501" s="204"/>
      <c r="J501" s="204"/>
      <c r="K501" s="205">
        <f t="shared" si="35"/>
        <v>2793651.99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336574.07</v>
      </c>
      <c r="G502" s="18">
        <v>470674.44</v>
      </c>
      <c r="H502" s="18"/>
      <c r="I502" s="18"/>
      <c r="J502" s="18"/>
      <c r="K502" s="53">
        <f t="shared" si="35"/>
        <v>807248.51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1498288</v>
      </c>
      <c r="G503" s="42">
        <f>SUM(G501:G502)</f>
        <v>2102612.5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3600900.5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844230.51</v>
      </c>
      <c r="G507" s="144">
        <v>113256.31</v>
      </c>
      <c r="H507" s="144">
        <v>54934.33</v>
      </c>
      <c r="I507" s="144">
        <v>902552.49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867743</v>
      </c>
      <c r="G511" s="24" t="s">
        <v>289</v>
      </c>
      <c r="H511" s="18">
        <v>867743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70841328.030000001</v>
      </c>
      <c r="G513" s="24" t="s">
        <v>289</v>
      </c>
      <c r="H513" s="18">
        <v>68713168.280000001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1016466.61</v>
      </c>
      <c r="G514" s="24" t="s">
        <v>289</v>
      </c>
      <c r="H514" s="18">
        <v>959956.12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72725537.640000001</v>
      </c>
      <c r="G517" s="42">
        <f>SUM(G511:G516)</f>
        <v>0</v>
      </c>
      <c r="H517" s="42">
        <f>SUM(H511:H516)</f>
        <v>70540867.400000006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1329615.08</v>
      </c>
      <c r="G521" s="18">
        <v>683639.35</v>
      </c>
      <c r="H521" s="18">
        <v>345906.96</v>
      </c>
      <c r="I521" s="18">
        <v>14268.79</v>
      </c>
      <c r="J521" s="18">
        <v>14418.24</v>
      </c>
      <c r="K521" s="18">
        <v>620.16</v>
      </c>
      <c r="L521" s="88">
        <f>SUM(F521:K521)</f>
        <v>2388468.5800000005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452069.13</v>
      </c>
      <c r="G522" s="18">
        <v>232437.38</v>
      </c>
      <c r="H522" s="18">
        <v>117608.37</v>
      </c>
      <c r="I522" s="18">
        <v>4851.3900000000003</v>
      </c>
      <c r="J522" s="18">
        <v>4902.2</v>
      </c>
      <c r="K522" s="18">
        <v>210.85</v>
      </c>
      <c r="L522" s="88">
        <f>SUM(F522:K522)</f>
        <v>812079.32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877545.96</v>
      </c>
      <c r="G523" s="18">
        <v>451201.97</v>
      </c>
      <c r="H523" s="18">
        <v>228298.59</v>
      </c>
      <c r="I523" s="18">
        <v>9417.4</v>
      </c>
      <c r="J523" s="18">
        <v>9516.0400000000009</v>
      </c>
      <c r="K523" s="18">
        <v>409.31</v>
      </c>
      <c r="L523" s="88">
        <f>SUM(F523:K523)</f>
        <v>1576389.27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2659230.17</v>
      </c>
      <c r="G524" s="108">
        <f t="shared" ref="G524:L524" si="36">SUM(G521:G523)</f>
        <v>1367278.7</v>
      </c>
      <c r="H524" s="108">
        <f t="shared" si="36"/>
        <v>691813.92</v>
      </c>
      <c r="I524" s="108">
        <f t="shared" si="36"/>
        <v>28537.58</v>
      </c>
      <c r="J524" s="108">
        <f t="shared" si="36"/>
        <v>28836.48</v>
      </c>
      <c r="K524" s="108">
        <f t="shared" si="36"/>
        <v>1240.32</v>
      </c>
      <c r="L524" s="89">
        <f t="shared" si="36"/>
        <v>4776937.17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623257.06999999995</v>
      </c>
      <c r="G526" s="18">
        <v>320455.95</v>
      </c>
      <c r="H526" s="18">
        <v>162143.89000000001</v>
      </c>
      <c r="I526" s="18">
        <v>6688.49</v>
      </c>
      <c r="J526" s="18">
        <v>6758.55</v>
      </c>
      <c r="K526" s="18">
        <v>290.7</v>
      </c>
      <c r="L526" s="88">
        <f>SUM(F526:K526)</f>
        <v>1119594.6500000001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211907.41</v>
      </c>
      <c r="G527" s="18">
        <v>108955.02</v>
      </c>
      <c r="H527" s="18">
        <v>55128.92</v>
      </c>
      <c r="I527" s="18">
        <v>2274.09</v>
      </c>
      <c r="J527" s="18">
        <v>2297.91</v>
      </c>
      <c r="K527" s="18">
        <v>98.84</v>
      </c>
      <c r="L527" s="88">
        <f>SUM(F527:K527)</f>
        <v>380662.19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411349.67</v>
      </c>
      <c r="G528" s="18">
        <v>211500.92</v>
      </c>
      <c r="H528" s="18">
        <v>107014.97</v>
      </c>
      <c r="I528" s="18">
        <v>4414.41</v>
      </c>
      <c r="J528" s="18">
        <v>4460.6400000000003</v>
      </c>
      <c r="K528" s="18">
        <v>191.86</v>
      </c>
      <c r="L528" s="88">
        <f>SUM(F528:K528)</f>
        <v>738932.47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1246514.1499999999</v>
      </c>
      <c r="G529" s="89">
        <f t="shared" ref="G529:L529" si="37">SUM(G526:G528)</f>
        <v>640911.89</v>
      </c>
      <c r="H529" s="89">
        <f t="shared" si="37"/>
        <v>324287.78000000003</v>
      </c>
      <c r="I529" s="89">
        <f t="shared" si="37"/>
        <v>13376.99</v>
      </c>
      <c r="J529" s="89">
        <f t="shared" si="37"/>
        <v>13517.099999999999</v>
      </c>
      <c r="K529" s="89">
        <f t="shared" si="37"/>
        <v>581.4</v>
      </c>
      <c r="L529" s="89">
        <f t="shared" si="37"/>
        <v>2239189.31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124651.41</v>
      </c>
      <c r="G531" s="18">
        <v>64091.19</v>
      </c>
      <c r="H531" s="18">
        <v>32428.78</v>
      </c>
      <c r="I531" s="18">
        <v>1337.7</v>
      </c>
      <c r="J531" s="18">
        <v>1351.71</v>
      </c>
      <c r="K531" s="18">
        <v>58.14</v>
      </c>
      <c r="L531" s="88">
        <f>SUM(F531:K531)</f>
        <v>223918.93000000002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42381.48</v>
      </c>
      <c r="G532" s="18">
        <v>21791</v>
      </c>
      <c r="H532" s="18">
        <v>11025.78</v>
      </c>
      <c r="I532" s="18">
        <v>454.82</v>
      </c>
      <c r="J532" s="18">
        <v>459.58</v>
      </c>
      <c r="K532" s="18">
        <v>19.77</v>
      </c>
      <c r="L532" s="88">
        <f>SUM(F532:K532)</f>
        <v>76132.430000000022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82269.929999999993</v>
      </c>
      <c r="G533" s="18">
        <v>42300.18</v>
      </c>
      <c r="H533" s="18">
        <v>21402.99</v>
      </c>
      <c r="I533" s="18">
        <v>882.88</v>
      </c>
      <c r="J533" s="18">
        <v>892.13</v>
      </c>
      <c r="K533" s="18">
        <v>38.369999999999997</v>
      </c>
      <c r="L533" s="88">
        <f>SUM(F533:K533)</f>
        <v>147786.47999999998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249302.82</v>
      </c>
      <c r="G534" s="89">
        <f t="shared" ref="G534:L534" si="38">SUM(G531:G533)</f>
        <v>128182.37</v>
      </c>
      <c r="H534" s="89">
        <f t="shared" si="38"/>
        <v>64857.55</v>
      </c>
      <c r="I534" s="89">
        <f t="shared" si="38"/>
        <v>2675.4</v>
      </c>
      <c r="J534" s="89">
        <f t="shared" si="38"/>
        <v>2703.42</v>
      </c>
      <c r="K534" s="89">
        <f t="shared" si="38"/>
        <v>116.28</v>
      </c>
      <c r="L534" s="89">
        <f t="shared" si="38"/>
        <v>447837.84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3895.96</v>
      </c>
      <c r="I536" s="18"/>
      <c r="J536" s="18"/>
      <c r="K536" s="18"/>
      <c r="L536" s="88">
        <f>SUM(F536:K536)</f>
        <v>3895.96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1324.62</v>
      </c>
      <c r="I537" s="18"/>
      <c r="J537" s="18"/>
      <c r="K537" s="18"/>
      <c r="L537" s="88">
        <f>SUM(F537:K537)</f>
        <v>1324.62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2571.33</v>
      </c>
      <c r="I538" s="18"/>
      <c r="J538" s="18"/>
      <c r="K538" s="18"/>
      <c r="L538" s="88">
        <f>SUM(F538:K538)</f>
        <v>2571.33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7791.91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7791.91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113434.63</v>
      </c>
      <c r="G541" s="18">
        <v>19777.3</v>
      </c>
      <c r="H541" s="18">
        <v>21055.38</v>
      </c>
      <c r="I541" s="18">
        <v>254.35</v>
      </c>
      <c r="J541" s="18"/>
      <c r="K541" s="18"/>
      <c r="L541" s="88">
        <f>SUM(F541:K541)</f>
        <v>154521.66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38567.769999999997</v>
      </c>
      <c r="G542" s="18">
        <v>6724.28</v>
      </c>
      <c r="H542" s="18">
        <v>7158.83</v>
      </c>
      <c r="I542" s="18">
        <v>86.48</v>
      </c>
      <c r="J542" s="18"/>
      <c r="K542" s="18"/>
      <c r="L542" s="88">
        <f>SUM(F542:K542)</f>
        <v>52537.36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74866.86</v>
      </c>
      <c r="G543" s="18">
        <v>13053.01</v>
      </c>
      <c r="H543" s="18">
        <v>13896.55</v>
      </c>
      <c r="I543" s="18">
        <v>167.87</v>
      </c>
      <c r="J543" s="18"/>
      <c r="K543" s="18"/>
      <c r="L543" s="88">
        <f>SUM(F543:K543)</f>
        <v>101984.29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226869.26</v>
      </c>
      <c r="G544" s="193">
        <f t="shared" ref="G544:L544" si="40">SUM(G541:G543)</f>
        <v>39554.589999999997</v>
      </c>
      <c r="H544" s="193">
        <f t="shared" si="40"/>
        <v>42110.759999999995</v>
      </c>
      <c r="I544" s="193">
        <f t="shared" si="40"/>
        <v>508.7</v>
      </c>
      <c r="J544" s="193">
        <f t="shared" si="40"/>
        <v>0</v>
      </c>
      <c r="K544" s="193">
        <f t="shared" si="40"/>
        <v>0</v>
      </c>
      <c r="L544" s="193">
        <f t="shared" si="40"/>
        <v>309043.31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4381916.3999999994</v>
      </c>
      <c r="G545" s="89">
        <f t="shared" ref="G545:L545" si="41">G524+G529+G534+G539+G544</f>
        <v>2175927.5499999998</v>
      </c>
      <c r="H545" s="89">
        <f t="shared" si="41"/>
        <v>1130861.92</v>
      </c>
      <c r="I545" s="89">
        <f t="shared" si="41"/>
        <v>45098.67</v>
      </c>
      <c r="J545" s="89">
        <f t="shared" si="41"/>
        <v>45057</v>
      </c>
      <c r="K545" s="89">
        <f t="shared" si="41"/>
        <v>1937.9999999999998</v>
      </c>
      <c r="L545" s="89">
        <f t="shared" si="41"/>
        <v>7780799.54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2388468.5800000005</v>
      </c>
      <c r="G549" s="87">
        <f>L526</f>
        <v>1119594.6500000001</v>
      </c>
      <c r="H549" s="87">
        <f>L531</f>
        <v>223918.93000000002</v>
      </c>
      <c r="I549" s="87">
        <f>L536</f>
        <v>3895.96</v>
      </c>
      <c r="J549" s="87">
        <f>L541</f>
        <v>154521.66</v>
      </c>
      <c r="K549" s="87">
        <f>SUM(F549:J549)</f>
        <v>3890399.7800000007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812079.32</v>
      </c>
      <c r="G550" s="87">
        <f>L527</f>
        <v>380662.19</v>
      </c>
      <c r="H550" s="87">
        <f>L532</f>
        <v>76132.430000000022</v>
      </c>
      <c r="I550" s="87">
        <f>L537</f>
        <v>1324.62</v>
      </c>
      <c r="J550" s="87">
        <f>L542</f>
        <v>52537.36</v>
      </c>
      <c r="K550" s="87">
        <f>SUM(F550:J550)</f>
        <v>1322735.9200000002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1576389.27</v>
      </c>
      <c r="G551" s="87">
        <f>L528</f>
        <v>738932.47</v>
      </c>
      <c r="H551" s="87">
        <f>L533</f>
        <v>147786.47999999998</v>
      </c>
      <c r="I551" s="87">
        <f>L538</f>
        <v>2571.33</v>
      </c>
      <c r="J551" s="87">
        <f>L543</f>
        <v>101984.29</v>
      </c>
      <c r="K551" s="87">
        <f>SUM(F551:J551)</f>
        <v>2567663.8400000003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4776937.17</v>
      </c>
      <c r="G552" s="89">
        <f t="shared" si="42"/>
        <v>2239189.31</v>
      </c>
      <c r="H552" s="89">
        <f t="shared" si="42"/>
        <v>447837.84</v>
      </c>
      <c r="I552" s="89">
        <f t="shared" si="42"/>
        <v>7791.91</v>
      </c>
      <c r="J552" s="89">
        <f t="shared" si="42"/>
        <v>309043.31</v>
      </c>
      <c r="K552" s="89">
        <f t="shared" si="42"/>
        <v>7780799.540000001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46309</v>
      </c>
      <c r="G562" s="18">
        <v>10100.16</v>
      </c>
      <c r="H562" s="18">
        <v>2548.79</v>
      </c>
      <c r="I562" s="18"/>
      <c r="J562" s="18"/>
      <c r="K562" s="18"/>
      <c r="L562" s="88">
        <f>SUM(F562:K562)</f>
        <v>58957.950000000004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46309</v>
      </c>
      <c r="G565" s="89">
        <f t="shared" si="44"/>
        <v>10100.16</v>
      </c>
      <c r="H565" s="89">
        <f t="shared" si="44"/>
        <v>2548.79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58957.950000000004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46309</v>
      </c>
      <c r="G571" s="89">
        <f t="shared" ref="G571:L571" si="46">G560+G565+G570</f>
        <v>10100.16</v>
      </c>
      <c r="H571" s="89">
        <f t="shared" si="46"/>
        <v>2548.79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58957.950000000004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111677.12</v>
      </c>
      <c r="G579" s="18">
        <v>335</v>
      </c>
      <c r="H579" s="18">
        <v>8102</v>
      </c>
      <c r="I579" s="87">
        <f t="shared" si="47"/>
        <v>120114.12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376867.69</v>
      </c>
      <c r="G582" s="18">
        <v>11992</v>
      </c>
      <c r="H582" s="18">
        <v>314845.03999999998</v>
      </c>
      <c r="I582" s="87">
        <f t="shared" si="47"/>
        <v>703704.73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1095405.1100000001</v>
      </c>
      <c r="I591" s="18">
        <v>222603.02</v>
      </c>
      <c r="J591" s="18">
        <v>320028.28999999998</v>
      </c>
      <c r="K591" s="104">
        <f t="shared" ref="K591:K597" si="48">SUM(H591:J591)</f>
        <v>1638036.4200000002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268354.86</v>
      </c>
      <c r="I592" s="18"/>
      <c r="J592" s="18">
        <v>40688.44</v>
      </c>
      <c r="K592" s="104">
        <f t="shared" si="48"/>
        <v>309043.3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1651</v>
      </c>
      <c r="K593" s="104">
        <f t="shared" si="48"/>
        <v>1651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14990.51</v>
      </c>
      <c r="J594" s="18">
        <v>58313.54</v>
      </c>
      <c r="K594" s="104">
        <f t="shared" si="48"/>
        <v>73304.05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19149.12</v>
      </c>
      <c r="I595" s="18">
        <v>10324.93</v>
      </c>
      <c r="J595" s="18">
        <v>10327.84</v>
      </c>
      <c r="K595" s="104">
        <f t="shared" si="48"/>
        <v>39801.89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1382909.0900000003</v>
      </c>
      <c r="I598" s="108">
        <f>SUM(I591:I597)</f>
        <v>247918.46</v>
      </c>
      <c r="J598" s="108">
        <f>SUM(J591:J597)</f>
        <v>431009.11</v>
      </c>
      <c r="K598" s="108">
        <f>SUM(K591:K597)</f>
        <v>2061836.6600000001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1649.9</v>
      </c>
      <c r="I603" s="18"/>
      <c r="J603" s="18"/>
      <c r="K603" s="104">
        <f>SUM(H603:J603)</f>
        <v>1649.9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288231.26</v>
      </c>
      <c r="I604" s="18">
        <v>194497.47456000003</v>
      </c>
      <c r="J604" s="18">
        <v>315631.06543999992</v>
      </c>
      <c r="K604" s="104">
        <f>SUM(H604:J604)</f>
        <v>798359.79999999993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289881.16000000003</v>
      </c>
      <c r="I605" s="108">
        <f>SUM(I602:I604)</f>
        <v>194497.47456000003</v>
      </c>
      <c r="J605" s="108">
        <f>SUM(J602:J604)</f>
        <v>315631.06543999992</v>
      </c>
      <c r="K605" s="108">
        <f>SUM(K602:K604)</f>
        <v>800009.7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13542.56</v>
      </c>
      <c r="G611" s="18">
        <v>894.3</v>
      </c>
      <c r="H611" s="18">
        <v>110</v>
      </c>
      <c r="I611" s="18">
        <v>309.02</v>
      </c>
      <c r="J611" s="18"/>
      <c r="K611" s="18"/>
      <c r="L611" s="88">
        <f>SUM(F611:K611)</f>
        <v>14855.88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34187.449999999997</v>
      </c>
      <c r="G613" s="18">
        <v>6977.04</v>
      </c>
      <c r="H613" s="18"/>
      <c r="I613" s="18">
        <v>997.11</v>
      </c>
      <c r="J613" s="18"/>
      <c r="K613" s="18"/>
      <c r="L613" s="88">
        <f>SUM(F613:K613)</f>
        <v>42161.599999999999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47730.009999999995</v>
      </c>
      <c r="G614" s="108">
        <f t="shared" si="49"/>
        <v>7871.34</v>
      </c>
      <c r="H614" s="108">
        <f t="shared" si="49"/>
        <v>110</v>
      </c>
      <c r="I614" s="108">
        <f t="shared" si="49"/>
        <v>1306.1300000000001</v>
      </c>
      <c r="J614" s="108">
        <f t="shared" si="49"/>
        <v>0</v>
      </c>
      <c r="K614" s="108">
        <f t="shared" si="49"/>
        <v>0</v>
      </c>
      <c r="L614" s="89">
        <f t="shared" si="49"/>
        <v>57017.479999999996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3113489.7499999995</v>
      </c>
      <c r="H617" s="109">
        <f>SUM(F52)</f>
        <v>3113489.75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60789.68</v>
      </c>
      <c r="H618" s="109">
        <f>SUM(G52)</f>
        <v>60789.680000000008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315194.3</v>
      </c>
      <c r="H619" s="109">
        <f>SUM(H52)</f>
        <v>315194.3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114636.72</v>
      </c>
      <c r="H620" s="109">
        <f>SUM(I52)</f>
        <v>114636.72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1311242.3699999999</v>
      </c>
      <c r="H621" s="109">
        <f>SUM(J52)</f>
        <v>1311242.3700000001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2903112.69</v>
      </c>
      <c r="H622" s="109">
        <f>F476</f>
        <v>2903112.6899999976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32949.160000000003</v>
      </c>
      <c r="H623" s="109">
        <f>G476</f>
        <v>32949.160000000033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114636.72</v>
      </c>
      <c r="H625" s="109">
        <f>I476</f>
        <v>114636.71999999997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1311242.3700000001</v>
      </c>
      <c r="H626" s="109">
        <f>J476</f>
        <v>1311242.3699999999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43457312.029999994</v>
      </c>
      <c r="H627" s="104">
        <f>SUM(F468)</f>
        <v>43457312.030000001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972096.3</v>
      </c>
      <c r="H628" s="104">
        <f>SUM(G468)</f>
        <v>972096.3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1688146.92</v>
      </c>
      <c r="H629" s="104">
        <f>SUM(H468)</f>
        <v>1688146.92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85502.13</v>
      </c>
      <c r="H631" s="104">
        <f>SUM(J468)</f>
        <v>85502.13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42703281.279999994</v>
      </c>
      <c r="H632" s="104">
        <f>SUM(F472)</f>
        <v>42703281.280000001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1688146.9199999997</v>
      </c>
      <c r="H633" s="104">
        <f>SUM(H472)</f>
        <v>1688146.92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420363.21</v>
      </c>
      <c r="H634" s="104">
        <f>I369</f>
        <v>420363.20999999996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947184.74</v>
      </c>
      <c r="H635" s="104">
        <f>SUM(G472)</f>
        <v>947184.74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235533.88</v>
      </c>
      <c r="H636" s="104">
        <f>SUM(I472)</f>
        <v>235533.88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85502.12999999999</v>
      </c>
      <c r="H637" s="164">
        <f>SUM(J468)</f>
        <v>85502.13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18824.11</v>
      </c>
      <c r="H638" s="164">
        <f>SUM(J472)</f>
        <v>18824.11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1311242.3699999999</v>
      </c>
      <c r="H640" s="104">
        <f>SUM(G461)</f>
        <v>1311242.3700000001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1311242.3699999999</v>
      </c>
      <c r="H642" s="104">
        <f>SUM(I461)</f>
        <v>1311242.3700000001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25402.13</v>
      </c>
      <c r="H644" s="104">
        <f>H408</f>
        <v>25402.129999999997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60000</v>
      </c>
      <c r="H645" s="104">
        <f>G408</f>
        <v>60000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85502.13</v>
      </c>
      <c r="H646" s="104">
        <f>L408</f>
        <v>85502.12999999999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2061836.6600000001</v>
      </c>
      <c r="H647" s="104">
        <f>L208+L226+L244</f>
        <v>2061836.6600000001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800009.7</v>
      </c>
      <c r="H648" s="104">
        <f>(J257+J338)-(J255+J336)</f>
        <v>800009.7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1382909.09</v>
      </c>
      <c r="H649" s="104">
        <f>H598</f>
        <v>1382909.0900000003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247918.46000000002</v>
      </c>
      <c r="H650" s="104">
        <f>I598</f>
        <v>247918.46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431009.11000000004</v>
      </c>
      <c r="H651" s="104">
        <f>J598</f>
        <v>431009.11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60000</v>
      </c>
      <c r="H655" s="104">
        <f>K266+K347</f>
        <v>60000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20775689.459999997</v>
      </c>
      <c r="G660" s="19">
        <f>(L229+L309+L359)</f>
        <v>6954653.4500000002</v>
      </c>
      <c r="H660" s="19">
        <f>(L247+L328+L360)</f>
        <v>13531936.310000001</v>
      </c>
      <c r="I660" s="19">
        <f>SUM(F660:H660)</f>
        <v>41262279.219999999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200578.70631355874</v>
      </c>
      <c r="G661" s="19">
        <f>(L359/IF(SUM(L358:L360)=0,1,SUM(L358:L360))*(SUM(G97:G110)))</f>
        <v>62859.859100142916</v>
      </c>
      <c r="H661" s="19">
        <f>(L360/IF(SUM(L358:L360)=0,1,SUM(L358:L360))*(SUM(G97:G110)))</f>
        <v>202906.62458629833</v>
      </c>
      <c r="I661" s="19">
        <f>SUM(F661:H661)</f>
        <v>466345.18999999994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1293791.79</v>
      </c>
      <c r="G662" s="19">
        <f>(L226+L306)-(J226+J306)</f>
        <v>212642.28000000003</v>
      </c>
      <c r="H662" s="19">
        <f>(L244+L325)-(J244+J325)</f>
        <v>360667.99000000005</v>
      </c>
      <c r="I662" s="19">
        <f>SUM(F662:H662)</f>
        <v>1867102.06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793281.85</v>
      </c>
      <c r="G663" s="199">
        <f>SUM(G575:G587)+SUM(I602:I604)+L612</f>
        <v>206824.47456000003</v>
      </c>
      <c r="H663" s="199">
        <f>SUM(H575:H587)+SUM(J602:J604)+L613</f>
        <v>680739.70543999982</v>
      </c>
      <c r="I663" s="19">
        <f>SUM(F663:H663)</f>
        <v>1680846.0299999998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18488037.113686439</v>
      </c>
      <c r="G664" s="19">
        <f>G660-SUM(G661:G663)</f>
        <v>6472326.8363398574</v>
      </c>
      <c r="H664" s="19">
        <f>H660-SUM(H661:H663)</f>
        <v>12287621.989973702</v>
      </c>
      <c r="I664" s="19">
        <f>I660-SUM(I661:I663)</f>
        <v>37247985.939999998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1110.97</v>
      </c>
      <c r="G665" s="248">
        <v>349.47</v>
      </c>
      <c r="H665" s="248">
        <v>769.27</v>
      </c>
      <c r="I665" s="19">
        <f>SUM(F665:H665)</f>
        <v>2229.71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16641.349999999999</v>
      </c>
      <c r="G667" s="19">
        <f>ROUND(G664/G665,2)</f>
        <v>18520.41</v>
      </c>
      <c r="H667" s="19">
        <f>ROUND(H664/H665,2)</f>
        <v>15973.09</v>
      </c>
      <c r="I667" s="19">
        <f>ROUND(I664/I665,2)</f>
        <v>16705.310000000001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24.62</v>
      </c>
      <c r="I670" s="19">
        <f>SUM(F670:H670)</f>
        <v>24.62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16641.349999999999</v>
      </c>
      <c r="G672" s="19">
        <f>ROUND((G664+G669)/(G665+G670),2)</f>
        <v>18520.41</v>
      </c>
      <c r="H672" s="19">
        <f>ROUND((H664+H669)/(H665+H670),2)</f>
        <v>15477.74</v>
      </c>
      <c r="I672" s="19">
        <f>ROUND((I664+I669)/(I665+I670),2)</f>
        <v>16522.86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Governor Wentworth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11161602.879999999</v>
      </c>
      <c r="C9" s="229">
        <f>'DOE25'!G197+'DOE25'!G215+'DOE25'!G233+'DOE25'!G276+'DOE25'!G295+'DOE25'!G314</f>
        <v>5542370.8100000005</v>
      </c>
    </row>
    <row r="10" spans="1:3" x14ac:dyDescent="0.2">
      <c r="A10" t="s">
        <v>779</v>
      </c>
      <c r="B10" s="240">
        <v>10039861.790559998</v>
      </c>
      <c r="C10" s="240">
        <v>4985362.5435950002</v>
      </c>
    </row>
    <row r="11" spans="1:3" x14ac:dyDescent="0.2">
      <c r="A11" t="s">
        <v>780</v>
      </c>
      <c r="B11" s="240">
        <v>600494.23494399991</v>
      </c>
      <c r="C11" s="240">
        <v>298179.54957800003</v>
      </c>
    </row>
    <row r="12" spans="1:3" x14ac:dyDescent="0.2">
      <c r="A12" t="s">
        <v>781</v>
      </c>
      <c r="B12" s="240">
        <v>521246.85449599993</v>
      </c>
      <c r="C12" s="240">
        <v>258828.71682700003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11161602.879999997</v>
      </c>
      <c r="C13" s="231">
        <f>SUM(C10:C12)</f>
        <v>5542370.8100000005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4155047.1599999997</v>
      </c>
      <c r="C18" s="229">
        <f>'DOE25'!G198+'DOE25'!G216+'DOE25'!G234+'DOE25'!G277+'DOE25'!G296+'DOE25'!G315</f>
        <v>2136372.9699999997</v>
      </c>
    </row>
    <row r="19" spans="1:3" x14ac:dyDescent="0.2">
      <c r="A19" t="s">
        <v>779</v>
      </c>
      <c r="B19" s="240">
        <v>2688315.5125199999</v>
      </c>
      <c r="C19" s="240">
        <v>1382233.3115899998</v>
      </c>
    </row>
    <row r="20" spans="1:3" x14ac:dyDescent="0.2">
      <c r="A20" t="s">
        <v>780</v>
      </c>
      <c r="B20" s="240">
        <v>1259810.2989119999</v>
      </c>
      <c r="C20" s="240">
        <v>647748.28450399998</v>
      </c>
    </row>
    <row r="21" spans="1:3" x14ac:dyDescent="0.2">
      <c r="A21" t="s">
        <v>781</v>
      </c>
      <c r="B21" s="240">
        <v>206921.34856799996</v>
      </c>
      <c r="C21" s="240">
        <v>106391.37390599998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4155047.1599999997</v>
      </c>
      <c r="C22" s="231">
        <f>SUM(C19:C21)</f>
        <v>2136372.9699999997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753599.55999999994</v>
      </c>
      <c r="C27" s="234">
        <f>'DOE25'!G199+'DOE25'!G217+'DOE25'!G235+'DOE25'!G278+'DOE25'!G297+'DOE25'!G316</f>
        <v>368579.74000000005</v>
      </c>
    </row>
    <row r="28" spans="1:3" x14ac:dyDescent="0.2">
      <c r="A28" t="s">
        <v>779</v>
      </c>
      <c r="B28" s="240">
        <v>497677.14942399994</v>
      </c>
      <c r="C28" s="240">
        <v>243410.06029600004</v>
      </c>
    </row>
    <row r="29" spans="1:3" x14ac:dyDescent="0.2">
      <c r="A29" t="s">
        <v>780</v>
      </c>
      <c r="B29" s="240">
        <v>115978.972284</v>
      </c>
      <c r="C29" s="240">
        <v>56724.421986000008</v>
      </c>
    </row>
    <row r="30" spans="1:3" x14ac:dyDescent="0.2">
      <c r="A30" t="s">
        <v>781</v>
      </c>
      <c r="B30" s="240">
        <v>139943.43829200001</v>
      </c>
      <c r="C30" s="240">
        <v>68445.257718000008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753599.55999999994</v>
      </c>
      <c r="C31" s="231">
        <f>SUM(C28:C30)</f>
        <v>368579.74000000011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415008.85</v>
      </c>
      <c r="C36" s="235">
        <f>'DOE25'!G200+'DOE25'!G218+'DOE25'!G236+'DOE25'!G279+'DOE25'!G298+'DOE25'!G317</f>
        <v>67967.73</v>
      </c>
    </row>
    <row r="37" spans="1:3" x14ac:dyDescent="0.2">
      <c r="A37" t="s">
        <v>779</v>
      </c>
      <c r="B37" s="240">
        <v>192730.10993999999</v>
      </c>
      <c r="C37" s="240">
        <v>31564.213811999998</v>
      </c>
    </row>
    <row r="38" spans="1:3" x14ac:dyDescent="0.2">
      <c r="A38" t="s">
        <v>780</v>
      </c>
      <c r="B38" s="240">
        <v>77482.152294999993</v>
      </c>
      <c r="C38" s="240">
        <v>12689.575191</v>
      </c>
    </row>
    <row r="39" spans="1:3" x14ac:dyDescent="0.2">
      <c r="A39" t="s">
        <v>781</v>
      </c>
      <c r="B39" s="240">
        <v>144796.58776499997</v>
      </c>
      <c r="C39" s="240">
        <v>23713.940996999998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415008.85</v>
      </c>
      <c r="C40" s="231">
        <f>SUM(C37:C39)</f>
        <v>67967.73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Governor Wentworth 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26009893.750000004</v>
      </c>
      <c r="D5" s="20">
        <f>SUM('DOE25'!L197:L200)+SUM('DOE25'!L215:L218)+SUM('DOE25'!L233:L236)-F5-G5</f>
        <v>25603132.480000004</v>
      </c>
      <c r="E5" s="243"/>
      <c r="F5" s="255">
        <f>SUM('DOE25'!J197:J200)+SUM('DOE25'!J215:J218)+SUM('DOE25'!J233:J236)</f>
        <v>392719.58999999997</v>
      </c>
      <c r="G5" s="53">
        <f>SUM('DOE25'!K197:K200)+SUM('DOE25'!K215:K218)+SUM('DOE25'!K233:K236)</f>
        <v>14041.68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1869158.1300000001</v>
      </c>
      <c r="D6" s="20">
        <f>'DOE25'!L202+'DOE25'!L220+'DOE25'!L238-F6-G6</f>
        <v>1864035.5200000003</v>
      </c>
      <c r="E6" s="243"/>
      <c r="F6" s="255">
        <f>'DOE25'!J202+'DOE25'!J220+'DOE25'!J238</f>
        <v>4583.21</v>
      </c>
      <c r="G6" s="53">
        <f>'DOE25'!K202+'DOE25'!K220+'DOE25'!K238</f>
        <v>539.4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1356154.8399999999</v>
      </c>
      <c r="D7" s="20">
        <f>'DOE25'!L203+'DOE25'!L221+'DOE25'!L239-F7-G7</f>
        <v>1293292.6099999999</v>
      </c>
      <c r="E7" s="243"/>
      <c r="F7" s="255">
        <f>'DOE25'!J203+'DOE25'!J221+'DOE25'!J239</f>
        <v>60737.48</v>
      </c>
      <c r="G7" s="53">
        <f>'DOE25'!K203+'DOE25'!K221+'DOE25'!K239</f>
        <v>2124.75</v>
      </c>
      <c r="H7" s="259"/>
    </row>
    <row r="8" spans="1:9" x14ac:dyDescent="0.2">
      <c r="A8" s="32">
        <v>2300</v>
      </c>
      <c r="B8" t="s">
        <v>802</v>
      </c>
      <c r="C8" s="245">
        <f t="shared" si="0"/>
        <v>56953.340000000026</v>
      </c>
      <c r="D8" s="243"/>
      <c r="E8" s="20">
        <f>'DOE25'!L204+'DOE25'!L222+'DOE25'!L240-F8-G8-D9-D11</f>
        <v>45992.030000000028</v>
      </c>
      <c r="F8" s="255">
        <f>'DOE25'!J204+'DOE25'!J222+'DOE25'!J240</f>
        <v>758.22</v>
      </c>
      <c r="G8" s="53">
        <f>'DOE25'!K204+'DOE25'!K222+'DOE25'!K240</f>
        <v>10203.09</v>
      </c>
      <c r="H8" s="259"/>
    </row>
    <row r="9" spans="1:9" x14ac:dyDescent="0.2">
      <c r="A9" s="32">
        <v>2310</v>
      </c>
      <c r="B9" t="s">
        <v>818</v>
      </c>
      <c r="C9" s="245">
        <f t="shared" si="0"/>
        <v>99011.3</v>
      </c>
      <c r="D9" s="244">
        <v>99011.3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21785</v>
      </c>
      <c r="D10" s="243"/>
      <c r="E10" s="244">
        <v>21785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600858.57999999996</v>
      </c>
      <c r="D11" s="244">
        <v>600858.57999999996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2519892.7699999996</v>
      </c>
      <c r="D12" s="20">
        <f>'DOE25'!L205+'DOE25'!L223+'DOE25'!L241-F12-G12</f>
        <v>2492483.6199999992</v>
      </c>
      <c r="E12" s="243"/>
      <c r="F12" s="255">
        <f>'DOE25'!J205+'DOE25'!J223+'DOE25'!J241</f>
        <v>19346.16</v>
      </c>
      <c r="G12" s="53">
        <f>'DOE25'!K205+'DOE25'!K223+'DOE25'!K241</f>
        <v>8062.99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468628.73000000004</v>
      </c>
      <c r="D13" s="243"/>
      <c r="E13" s="20">
        <f>'DOE25'!L206+'DOE25'!L224+'DOE25'!L242-F13-G13</f>
        <v>447363.36000000004</v>
      </c>
      <c r="F13" s="255">
        <f>'DOE25'!J206+'DOE25'!J224+'DOE25'!J242</f>
        <v>506.36</v>
      </c>
      <c r="G13" s="53">
        <f>'DOE25'!K206+'DOE25'!K224+'DOE25'!K242</f>
        <v>20759.010000000002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3791823.8500000006</v>
      </c>
      <c r="D14" s="20">
        <f>'DOE25'!L207+'DOE25'!L225+'DOE25'!L243-F14-G14</f>
        <v>3768899.1400000006</v>
      </c>
      <c r="E14" s="243"/>
      <c r="F14" s="255">
        <f>'DOE25'!J207+'DOE25'!J225+'DOE25'!J243</f>
        <v>22924.710000000003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2061836.6600000001</v>
      </c>
      <c r="D15" s="20">
        <f>'DOE25'!L208+'DOE25'!L226+'DOE25'!L244-F15-G15</f>
        <v>1844602.06</v>
      </c>
      <c r="E15" s="243"/>
      <c r="F15" s="255">
        <f>'DOE25'!J208+'DOE25'!J226+'DOE25'!J244</f>
        <v>217234.6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3847.29</v>
      </c>
      <c r="D17" s="20">
        <f>'DOE25'!L251-F17-G17</f>
        <v>3847.29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4843.0600000000004</v>
      </c>
      <c r="D19" s="20">
        <f>'DOE25'!L253-F19-G19</f>
        <v>4843.0600000000004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199690.73</v>
      </c>
      <c r="D22" s="243"/>
      <c r="E22" s="243"/>
      <c r="F22" s="255">
        <f>'DOE25'!L255+'DOE25'!L336</f>
        <v>199690.73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3600688.25</v>
      </c>
      <c r="D25" s="243"/>
      <c r="E25" s="243"/>
      <c r="F25" s="258"/>
      <c r="G25" s="256"/>
      <c r="H25" s="257">
        <f>'DOE25'!L260+'DOE25'!L261+'DOE25'!L341+'DOE25'!L342</f>
        <v>3600688.25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544229.27</v>
      </c>
      <c r="D29" s="20">
        <f>'DOE25'!L358+'DOE25'!L359+'DOE25'!L360-'DOE25'!I367-F29-G29</f>
        <v>543250.14</v>
      </c>
      <c r="E29" s="243"/>
      <c r="F29" s="255">
        <f>'DOE25'!J358+'DOE25'!J359+'DOE25'!J360</f>
        <v>979.12999999999988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1688146.92</v>
      </c>
      <c r="D31" s="20">
        <f>'DOE25'!L290+'DOE25'!L309+'DOE25'!L328+'DOE25'!L333+'DOE25'!L334+'DOE25'!L335-F31-G31</f>
        <v>1601700.2999999998</v>
      </c>
      <c r="E31" s="243"/>
      <c r="F31" s="255">
        <f>'DOE25'!J290+'DOE25'!J309+'DOE25'!J328+'DOE25'!J333+'DOE25'!J334+'DOE25'!J335</f>
        <v>81199.37</v>
      </c>
      <c r="G31" s="53">
        <f>'DOE25'!K290+'DOE25'!K309+'DOE25'!K328+'DOE25'!K333+'DOE25'!K334+'DOE25'!K335</f>
        <v>5247.25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39719956.100000001</v>
      </c>
      <c r="E33" s="246">
        <f>SUM(E5:E31)</f>
        <v>515140.39000000007</v>
      </c>
      <c r="F33" s="246">
        <f>SUM(F5:F31)</f>
        <v>1000679.5599999999</v>
      </c>
      <c r="G33" s="246">
        <f>SUM(G5:G31)</f>
        <v>60978.170000000006</v>
      </c>
      <c r="H33" s="246">
        <f>SUM(H5:H31)</f>
        <v>3600688.25</v>
      </c>
    </row>
    <row r="35" spans="2:8" ht="12" thickBot="1" x14ac:dyDescent="0.25">
      <c r="B35" s="253" t="s">
        <v>847</v>
      </c>
      <c r="D35" s="254">
        <f>E33</f>
        <v>515140.39000000007</v>
      </c>
      <c r="E35" s="249"/>
    </row>
    <row r="36" spans="2:8" ht="12" thickTop="1" x14ac:dyDescent="0.2">
      <c r="B36" t="s">
        <v>815</v>
      </c>
      <c r="D36" s="20">
        <f>D33</f>
        <v>39719956.100000001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69" activePane="bottomLeft" state="frozen"/>
      <selection activeCell="F46" sqref="F46"/>
      <selection pane="bottomLeft" activeCell="E106" sqref="E10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Governor Wentworth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2493126.87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54482.28</v>
      </c>
      <c r="D11" s="95">
        <f>'DOE25'!G12</f>
        <v>25109.82</v>
      </c>
      <c r="E11" s="95">
        <f>'DOE25'!H12</f>
        <v>0</v>
      </c>
      <c r="F11" s="95">
        <f>'DOE25'!I12</f>
        <v>114636.72</v>
      </c>
      <c r="G11" s="95">
        <f>'DOE25'!J12</f>
        <v>43989.91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553608.69999999995</v>
      </c>
      <c r="D12" s="95">
        <f>'DOE25'!G13</f>
        <v>35679.86</v>
      </c>
      <c r="E12" s="95">
        <f>'DOE25'!H13</f>
        <v>315194.3</v>
      </c>
      <c r="F12" s="95">
        <f>'DOE25'!I13</f>
        <v>0</v>
      </c>
      <c r="G12" s="95">
        <f>'DOE25'!J13</f>
        <v>1267252.46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12261.9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3113489.7499999995</v>
      </c>
      <c r="D18" s="41">
        <f>SUM(D8:D17)</f>
        <v>60789.68</v>
      </c>
      <c r="E18" s="41">
        <f>SUM(E8:E17)</f>
        <v>315194.3</v>
      </c>
      <c r="F18" s="41">
        <f>SUM(F8:F17)</f>
        <v>114636.72</v>
      </c>
      <c r="G18" s="41">
        <f>SUM(G8:G17)</f>
        <v>1311242.3699999999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243088.99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200295.42</v>
      </c>
      <c r="D27" s="95">
        <f>'DOE25'!G28</f>
        <v>8791.0300000000007</v>
      </c>
      <c r="E27" s="95">
        <f>'DOE25'!H28</f>
        <v>21796.11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10081.64</v>
      </c>
      <c r="D29" s="95">
        <f>'DOE25'!G30</f>
        <v>19049.490000000002</v>
      </c>
      <c r="E29" s="95">
        <f>'DOE25'!H30</f>
        <v>50309.2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210377.06</v>
      </c>
      <c r="D31" s="41">
        <f>SUM(D21:D30)</f>
        <v>27840.520000000004</v>
      </c>
      <c r="E31" s="41">
        <f>SUM(E21:E30)</f>
        <v>315194.3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32949.160000000003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114636.72</v>
      </c>
      <c r="G47" s="95">
        <f>'DOE25'!J48</f>
        <v>1311242.3700000001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39691.64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2803421.05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2903112.69</v>
      </c>
      <c r="D50" s="41">
        <f>SUM(D34:D49)</f>
        <v>32949.160000000003</v>
      </c>
      <c r="E50" s="41">
        <f>SUM(E34:E49)</f>
        <v>0</v>
      </c>
      <c r="F50" s="41">
        <f>SUM(F34:F49)</f>
        <v>114636.72</v>
      </c>
      <c r="G50" s="41">
        <f>SUM(G34:G49)</f>
        <v>1311242.3700000001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3113489.75</v>
      </c>
      <c r="D51" s="41">
        <f>D50+D31</f>
        <v>60789.680000000008</v>
      </c>
      <c r="E51" s="41">
        <f>E50+E31</f>
        <v>315194.3</v>
      </c>
      <c r="F51" s="41">
        <f>F50+F31</f>
        <v>114636.72</v>
      </c>
      <c r="G51" s="41">
        <f>G50+G31</f>
        <v>1311242.3700000001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25536524.239999998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708170.42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1240.8499999999999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25402.13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466345.19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133112.85999999999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100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842524.13</v>
      </c>
      <c r="D62" s="130">
        <f>SUM(D57:D61)</f>
        <v>466345.19</v>
      </c>
      <c r="E62" s="130">
        <f>SUM(E57:E61)</f>
        <v>0</v>
      </c>
      <c r="F62" s="130">
        <f>SUM(F57:F61)</f>
        <v>0</v>
      </c>
      <c r="G62" s="130">
        <f>SUM(G57:G61)</f>
        <v>25502.13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26379048.369999997</v>
      </c>
      <c r="D63" s="22">
        <f>D56+D62</f>
        <v>466345.19</v>
      </c>
      <c r="E63" s="22">
        <f>E56+E62</f>
        <v>0</v>
      </c>
      <c r="F63" s="22">
        <f>F56+F62</f>
        <v>0</v>
      </c>
      <c r="G63" s="22">
        <f>G56+G62</f>
        <v>25502.13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3931289.93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10902857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14834146.93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1626095.88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109906.78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226645.31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11465.65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1962647.97</v>
      </c>
      <c r="D78" s="130">
        <f>SUM(D72:D77)</f>
        <v>11465.65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16796794.899999999</v>
      </c>
      <c r="D81" s="130">
        <f>SUM(D79:D80)+D78+D70</f>
        <v>11465.65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281468.76</v>
      </c>
      <c r="D88" s="95">
        <f>SUM('DOE25'!G153:G161)</f>
        <v>494285.46</v>
      </c>
      <c r="E88" s="95">
        <f>SUM('DOE25'!H153:H161)</f>
        <v>1688146.92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281468.76</v>
      </c>
      <c r="D91" s="131">
        <f>SUM(D85:D90)</f>
        <v>494285.46</v>
      </c>
      <c r="E91" s="131">
        <f>SUM(E85:E90)</f>
        <v>1688146.92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765</v>
      </c>
      <c r="C104" s="86">
        <f>C63+C81+C91+C103</f>
        <v>43457312.029999994</v>
      </c>
      <c r="D104" s="86">
        <f>D63+D81+D91+D103</f>
        <v>972096.3</v>
      </c>
      <c r="E104" s="86">
        <f>E63+E81+E91+E103</f>
        <v>1688146.92</v>
      </c>
      <c r="F104" s="86">
        <f>F63+F81+F91+F103</f>
        <v>0</v>
      </c>
      <c r="G104" s="86">
        <f>G63+G81+G103</f>
        <v>85502.13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17225701.920000002</v>
      </c>
      <c r="D109" s="24" t="s">
        <v>289</v>
      </c>
      <c r="E109" s="95">
        <f>('DOE25'!L276)+('DOE25'!L295)+('DOE25'!L314)</f>
        <v>555866.44999999995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7013486.3300000001</v>
      </c>
      <c r="D110" s="24" t="s">
        <v>289</v>
      </c>
      <c r="E110" s="95">
        <f>('DOE25'!L277)+('DOE25'!L296)+('DOE25'!L315)</f>
        <v>458269.92000000004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1114628.77</v>
      </c>
      <c r="D111" s="24" t="s">
        <v>289</v>
      </c>
      <c r="E111" s="95">
        <f>('DOE25'!L278)+('DOE25'!L297)+('DOE25'!L316)</f>
        <v>129974.48999999999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656076.72999999986</v>
      </c>
      <c r="D112" s="24" t="s">
        <v>289</v>
      </c>
      <c r="E112" s="95">
        <f>+('DOE25'!L279)+('DOE25'!L298)+('DOE25'!L317)</f>
        <v>26409.679999999997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8690.35</v>
      </c>
      <c r="D114" s="24" t="s">
        <v>289</v>
      </c>
      <c r="E114" s="95">
        <f>+ SUM('DOE25'!L333:L335)</f>
        <v>207264.38999999998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26018584.100000001</v>
      </c>
      <c r="D115" s="86">
        <f>SUM(D109:D114)</f>
        <v>0</v>
      </c>
      <c r="E115" s="86">
        <f>SUM(E109:E114)</f>
        <v>1377784.9299999997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1869158.1300000001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1356154.8399999999</v>
      </c>
      <c r="D119" s="24" t="s">
        <v>289</v>
      </c>
      <c r="E119" s="95">
        <f>+('DOE25'!L282)+('DOE25'!L301)+('DOE25'!L320)</f>
        <v>287861.99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756823.22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2519892.7699999996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468628.73000000004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3791823.8500000006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2061836.6600000001</v>
      </c>
      <c r="D124" s="24" t="s">
        <v>289</v>
      </c>
      <c r="E124" s="95">
        <f>+('DOE25'!L287)+('DOE25'!L306)+('DOE25'!L325)</f>
        <v>22500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947184.74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12824318.199999999</v>
      </c>
      <c r="D128" s="86">
        <f>SUM(D118:D127)</f>
        <v>947184.74</v>
      </c>
      <c r="E128" s="86">
        <f>SUM(E118:E127)</f>
        <v>310361.99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199690.73</v>
      </c>
      <c r="D130" s="24" t="s">
        <v>289</v>
      </c>
      <c r="E130" s="129">
        <f>'DOE25'!L336</f>
        <v>0</v>
      </c>
      <c r="F130" s="129">
        <f>SUM('DOE25'!L374:'DOE25'!L380)</f>
        <v>235533.88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2923441.09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677247.16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18824.11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85502.12999999999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-25502.12999999999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3860378.98</v>
      </c>
      <c r="D144" s="141">
        <f>SUM(D130:D143)</f>
        <v>0</v>
      </c>
      <c r="E144" s="141">
        <f>SUM(E130:E143)</f>
        <v>0</v>
      </c>
      <c r="F144" s="141">
        <f>SUM(F130:F143)</f>
        <v>235533.88</v>
      </c>
      <c r="G144" s="141">
        <f>SUM(G130:G143)</f>
        <v>18824.11</v>
      </c>
    </row>
    <row r="145" spans="1:9" ht="12.75" thickTop="1" thickBot="1" x14ac:dyDescent="0.25">
      <c r="A145" s="33" t="s">
        <v>244</v>
      </c>
      <c r="C145" s="86">
        <f>(C115+C128+C144)</f>
        <v>42703281.279999994</v>
      </c>
      <c r="D145" s="86">
        <f>(D115+D128+D144)</f>
        <v>947184.74</v>
      </c>
      <c r="E145" s="86">
        <f>(E115+E128+E144)</f>
        <v>1688146.9199999997</v>
      </c>
      <c r="F145" s="86">
        <f>(F115+F128+F144)</f>
        <v>235533.88</v>
      </c>
      <c r="G145" s="86">
        <f>(G115+G128+G144)</f>
        <v>18824.11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30</v>
      </c>
      <c r="C151" s="153">
        <f>'DOE25'!G490</f>
        <v>30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07/09</v>
      </c>
      <c r="C152" s="152" t="str">
        <f>'DOE25'!G491</f>
        <v>07/10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07/39</v>
      </c>
      <c r="C153" s="152" t="str">
        <f>'DOE25'!G492</f>
        <v>08/40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25000000</v>
      </c>
      <c r="C154" s="137">
        <f>'DOE25'!G493</f>
        <v>325508500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</v>
      </c>
      <c r="C155" s="137">
        <f>'DOE25'!G494</f>
        <v>4.46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19332844.170000002</v>
      </c>
      <c r="C156" s="137">
        <f>'DOE25'!G495</f>
        <v>25986520.359999999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45319364.530000001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1208963.6900000013</v>
      </c>
      <c r="C158" s="137">
        <f>'DOE25'!G497</f>
        <v>1714477.3999999985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2923441.09</v>
      </c>
    </row>
    <row r="159" spans="1:9" x14ac:dyDescent="0.2">
      <c r="A159" s="22" t="s">
        <v>35</v>
      </c>
      <c r="B159" s="137">
        <f>'DOE25'!F498</f>
        <v>18123880.48</v>
      </c>
      <c r="C159" s="137">
        <f>'DOE25'!G498</f>
        <v>24272042.960000001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42395923.439999998</v>
      </c>
    </row>
    <row r="160" spans="1:9" x14ac:dyDescent="0.2">
      <c r="A160" s="22" t="s">
        <v>36</v>
      </c>
      <c r="B160" s="137">
        <f>'DOE25'!F499</f>
        <v>19305417.059999999</v>
      </c>
      <c r="C160" s="137">
        <f>'DOE25'!G499</f>
        <v>28334838.289999999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47640255.349999994</v>
      </c>
    </row>
    <row r="161" spans="1:7" x14ac:dyDescent="0.2">
      <c r="A161" s="22" t="s">
        <v>37</v>
      </c>
      <c r="B161" s="137">
        <f>'DOE25'!F500</f>
        <v>37429297.539999999</v>
      </c>
      <c r="C161" s="137">
        <f>'DOE25'!G500</f>
        <v>52606881.25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90036178.789999992</v>
      </c>
    </row>
    <row r="162" spans="1:7" x14ac:dyDescent="0.2">
      <c r="A162" s="22" t="s">
        <v>38</v>
      </c>
      <c r="B162" s="137">
        <f>'DOE25'!F501</f>
        <v>1161713.93</v>
      </c>
      <c r="C162" s="137">
        <f>'DOE25'!G501</f>
        <v>1631938.06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2793651.99</v>
      </c>
    </row>
    <row r="163" spans="1:7" x14ac:dyDescent="0.2">
      <c r="A163" s="22" t="s">
        <v>39</v>
      </c>
      <c r="B163" s="137">
        <f>'DOE25'!F502</f>
        <v>336574.07</v>
      </c>
      <c r="C163" s="137">
        <f>'DOE25'!G502</f>
        <v>470674.44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807248.51</v>
      </c>
    </row>
    <row r="164" spans="1:7" x14ac:dyDescent="0.2">
      <c r="A164" s="22" t="s">
        <v>246</v>
      </c>
      <c r="B164" s="137">
        <f>'DOE25'!F503</f>
        <v>1498288</v>
      </c>
      <c r="C164" s="137">
        <f>'DOE25'!G503</f>
        <v>2102612.5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3600900.5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Governor Wentworth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16641</v>
      </c>
    </row>
    <row r="5" spans="1:4" x14ac:dyDescent="0.2">
      <c r="B5" t="s">
        <v>704</v>
      </c>
      <c r="C5" s="179">
        <f>IF('DOE25'!G665+'DOE25'!G670=0,0,ROUND('DOE25'!G672,0))</f>
        <v>18520</v>
      </c>
    </row>
    <row r="6" spans="1:4" x14ac:dyDescent="0.2">
      <c r="B6" t="s">
        <v>62</v>
      </c>
      <c r="C6" s="179">
        <f>IF('DOE25'!H665+'DOE25'!H670=0,0,ROUND('DOE25'!H672,0))</f>
        <v>15478</v>
      </c>
    </row>
    <row r="7" spans="1:4" x14ac:dyDescent="0.2">
      <c r="B7" t="s">
        <v>705</v>
      </c>
      <c r="C7" s="179">
        <f>IF('DOE25'!I665+'DOE25'!I670=0,0,ROUND('DOE25'!I672,0))</f>
        <v>16523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17781568</v>
      </c>
      <c r="D10" s="182">
        <f>ROUND((C10/$C$28)*100,1)</f>
        <v>42.7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7471756</v>
      </c>
      <c r="D11" s="182">
        <f>ROUND((C11/$C$28)*100,1)</f>
        <v>17.899999999999999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1244603</v>
      </c>
      <c r="D12" s="182">
        <f>ROUND((C12/$C$28)*100,1)</f>
        <v>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682486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1869158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1644017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756823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2519893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468629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3791824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2084337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215955</v>
      </c>
      <c r="D24" s="182">
        <f t="shared" si="0"/>
        <v>0.5</v>
      </c>
    </row>
    <row r="25" spans="1:4" x14ac:dyDescent="0.2">
      <c r="A25">
        <v>5120</v>
      </c>
      <c r="B25" t="s">
        <v>720</v>
      </c>
      <c r="C25" s="179">
        <f>ROUND('DOE25'!L261+'DOE25'!L342,0)</f>
        <v>677247</v>
      </c>
      <c r="D25" s="182">
        <f t="shared" si="0"/>
        <v>1.6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480839.81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41689135.810000002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435225</v>
      </c>
    </row>
    <row r="30" spans="1:4" x14ac:dyDescent="0.2">
      <c r="B30" s="187" t="s">
        <v>729</v>
      </c>
      <c r="C30" s="180">
        <f>SUM(C28:C29)</f>
        <v>42124360.810000002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2923441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25536524</v>
      </c>
      <c r="D35" s="182">
        <f t="shared" ref="D35:D40" si="1">ROUND((C35/$C$41)*100,1)</f>
        <v>55.9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868026.5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14834147</v>
      </c>
      <c r="D37" s="182">
        <f t="shared" si="1"/>
        <v>32.5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1974114</v>
      </c>
      <c r="D38" s="182">
        <f t="shared" si="1"/>
        <v>4.3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2463901</v>
      </c>
      <c r="D39" s="182">
        <f t="shared" si="1"/>
        <v>5.4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45676712.5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Governor Wentworth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2015-08-11T13:07:17Z</cp:lastPrinted>
  <dcterms:created xsi:type="dcterms:W3CDTF">1997-12-04T19:04:30Z</dcterms:created>
  <dcterms:modified xsi:type="dcterms:W3CDTF">2015-11-25T16:19:55Z</dcterms:modified>
</cp:coreProperties>
</file>