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0" yWindow="-30" windowWidth="12750" windowHeight="6540" tabRatio="855" activeTab="2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50" i="1" l="1"/>
  <c r="H577" i="1" l="1"/>
  <c r="H575" i="1"/>
  <c r="H155" i="1" l="1"/>
  <c r="G97" i="1"/>
  <c r="G158" i="1"/>
  <c r="F57" i="1"/>
  <c r="F12" i="1"/>
  <c r="F9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C12" i="10" s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G662" i="1" s="1"/>
  <c r="L244" i="1"/>
  <c r="F17" i="13"/>
  <c r="G17" i="13"/>
  <c r="L251" i="1"/>
  <c r="F18" i="13"/>
  <c r="G18" i="13"/>
  <c r="L252" i="1"/>
  <c r="F19" i="13"/>
  <c r="G19" i="13"/>
  <c r="L253" i="1"/>
  <c r="C114" i="2" s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C130" i="2" s="1"/>
  <c r="L336" i="1"/>
  <c r="C11" i="13"/>
  <c r="C10" i="13"/>
  <c r="C9" i="13"/>
  <c r="L361" i="1"/>
  <c r="B4" i="12"/>
  <c r="B36" i="12"/>
  <c r="C36" i="12"/>
  <c r="B40" i="12"/>
  <c r="C40" i="12"/>
  <c r="A40" i="12" s="1"/>
  <c r="B27" i="12"/>
  <c r="C27" i="12"/>
  <c r="B31" i="12"/>
  <c r="C31" i="12"/>
  <c r="A31" i="12" s="1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3" i="10"/>
  <c r="C16" i="10"/>
  <c r="C17" i="10"/>
  <c r="C19" i="10"/>
  <c r="L250" i="1"/>
  <c r="L332" i="1"/>
  <c r="L254" i="1"/>
  <c r="C25" i="10"/>
  <c r="L268" i="1"/>
  <c r="L269" i="1"/>
  <c r="L349" i="1"/>
  <c r="L350" i="1"/>
  <c r="I665" i="1"/>
  <c r="I670" i="1"/>
  <c r="L229" i="1"/>
  <c r="F661" i="1"/>
  <c r="G661" i="1"/>
  <c r="H661" i="1"/>
  <c r="F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H552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J552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C18" i="2" s="1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E110" i="2"/>
  <c r="C111" i="2"/>
  <c r="E111" i="2"/>
  <c r="C112" i="2"/>
  <c r="E112" i="2"/>
  <c r="C113" i="2"/>
  <c r="E113" i="2"/>
  <c r="E114" i="2"/>
  <c r="D115" i="2"/>
  <c r="F115" i="2"/>
  <c r="G115" i="2"/>
  <c r="E118" i="2"/>
  <c r="E119" i="2"/>
  <c r="C120" i="2"/>
  <c r="E120" i="2"/>
  <c r="E121" i="2"/>
  <c r="C122" i="2"/>
  <c r="E122" i="2"/>
  <c r="C123" i="2"/>
  <c r="E123" i="2"/>
  <c r="E124" i="2"/>
  <c r="C125" i="2"/>
  <c r="E125" i="2"/>
  <c r="D127" i="2"/>
  <c r="D128" i="2" s="1"/>
  <c r="F128" i="2"/>
  <c r="G128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F32" i="1"/>
  <c r="F52" i="1" s="1"/>
  <c r="H617" i="1" s="1"/>
  <c r="G32" i="1"/>
  <c r="H32" i="1"/>
  <c r="I32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I257" i="1" s="1"/>
  <c r="I271" i="1" s="1"/>
  <c r="J229" i="1"/>
  <c r="K229" i="1"/>
  <c r="F247" i="1"/>
  <c r="G247" i="1"/>
  <c r="H247" i="1"/>
  <c r="I247" i="1"/>
  <c r="J247" i="1"/>
  <c r="K247" i="1"/>
  <c r="F256" i="1"/>
  <c r="G256" i="1"/>
  <c r="H256" i="1"/>
  <c r="H257" i="1" s="1"/>
  <c r="H271" i="1" s="1"/>
  <c r="I256" i="1"/>
  <c r="J256" i="1"/>
  <c r="K256" i="1"/>
  <c r="F257" i="1"/>
  <c r="F271" i="1" s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H634" i="1" s="1"/>
  <c r="J634" i="1" s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F461" i="1" s="1"/>
  <c r="H639" i="1" s="1"/>
  <c r="J639" i="1" s="1"/>
  <c r="G452" i="1"/>
  <c r="H452" i="1"/>
  <c r="F460" i="1"/>
  <c r="G460" i="1"/>
  <c r="H460" i="1"/>
  <c r="I460" i="1"/>
  <c r="G461" i="1"/>
  <c r="H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K545" i="1" s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H545" i="1" s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39" i="1"/>
  <c r="G640" i="1"/>
  <c r="H640" i="1"/>
  <c r="G641" i="1"/>
  <c r="H641" i="1"/>
  <c r="G642" i="1"/>
  <c r="G643" i="1"/>
  <c r="H643" i="1"/>
  <c r="G644" i="1"/>
  <c r="H644" i="1"/>
  <c r="G645" i="1"/>
  <c r="H645" i="1"/>
  <c r="G649" i="1"/>
  <c r="J649" i="1" s="1"/>
  <c r="G650" i="1"/>
  <c r="G651" i="1"/>
  <c r="G652" i="1"/>
  <c r="H652" i="1"/>
  <c r="G653" i="1"/>
  <c r="H653" i="1"/>
  <c r="G654" i="1"/>
  <c r="H654" i="1"/>
  <c r="H655" i="1"/>
  <c r="F192" i="1"/>
  <c r="L256" i="1"/>
  <c r="K257" i="1"/>
  <c r="K271" i="1" s="1"/>
  <c r="G257" i="1"/>
  <c r="G271" i="1" s="1"/>
  <c r="G164" i="2"/>
  <c r="C26" i="10"/>
  <c r="L328" i="1"/>
  <c r="L351" i="1"/>
  <c r="L290" i="1"/>
  <c r="C70" i="2"/>
  <c r="D12" i="13"/>
  <c r="C12" i="13" s="1"/>
  <c r="D62" i="2"/>
  <c r="D63" i="2" s="1"/>
  <c r="D18" i="13"/>
  <c r="C18" i="13" s="1"/>
  <c r="D15" i="13"/>
  <c r="C15" i="13" s="1"/>
  <c r="D18" i="2"/>
  <c r="D17" i="13"/>
  <c r="C17" i="13" s="1"/>
  <c r="E8" i="13"/>
  <c r="C8" i="13" s="1"/>
  <c r="C91" i="2"/>
  <c r="F78" i="2"/>
  <c r="F81" i="2" s="1"/>
  <c r="D31" i="2"/>
  <c r="C78" i="2"/>
  <c r="C81" i="2" s="1"/>
  <c r="D50" i="2"/>
  <c r="G157" i="2"/>
  <c r="F18" i="2"/>
  <c r="G161" i="2"/>
  <c r="G156" i="2"/>
  <c r="E115" i="2"/>
  <c r="E103" i="2"/>
  <c r="D91" i="2"/>
  <c r="E62" i="2"/>
  <c r="E63" i="2" s="1"/>
  <c r="E31" i="2"/>
  <c r="G62" i="2"/>
  <c r="D29" i="13"/>
  <c r="C29" i="13" s="1"/>
  <c r="D19" i="13"/>
  <c r="C19" i="13" s="1"/>
  <c r="D14" i="13"/>
  <c r="C14" i="13" s="1"/>
  <c r="E13" i="13"/>
  <c r="C13" i="13" s="1"/>
  <c r="E78" i="2"/>
  <c r="E81" i="2" s="1"/>
  <c r="L427" i="1"/>
  <c r="J257" i="1"/>
  <c r="J271" i="1" s="1"/>
  <c r="H112" i="1"/>
  <c r="F112" i="1"/>
  <c r="J641" i="1"/>
  <c r="K605" i="1"/>
  <c r="G648" i="1" s="1"/>
  <c r="J571" i="1"/>
  <c r="K571" i="1"/>
  <c r="L433" i="1"/>
  <c r="L419" i="1"/>
  <c r="D81" i="2"/>
  <c r="I169" i="1"/>
  <c r="H169" i="1"/>
  <c r="J644" i="1"/>
  <c r="J643" i="1"/>
  <c r="J476" i="1"/>
  <c r="H626" i="1" s="1"/>
  <c r="H476" i="1"/>
  <c r="H624" i="1" s="1"/>
  <c r="J624" i="1" s="1"/>
  <c r="F476" i="1"/>
  <c r="H622" i="1" s="1"/>
  <c r="J622" i="1" s="1"/>
  <c r="I476" i="1"/>
  <c r="H625" i="1" s="1"/>
  <c r="G476" i="1"/>
  <c r="H623" i="1" s="1"/>
  <c r="J623" i="1" s="1"/>
  <c r="G338" i="1"/>
  <c r="G352" i="1" s="1"/>
  <c r="F169" i="1"/>
  <c r="J140" i="1"/>
  <c r="F571" i="1"/>
  <c r="I552" i="1"/>
  <c r="G22" i="2"/>
  <c r="C29" i="10"/>
  <c r="I661" i="1"/>
  <c r="H140" i="1"/>
  <c r="L401" i="1"/>
  <c r="C139" i="2" s="1"/>
  <c r="L393" i="1"/>
  <c r="A13" i="12"/>
  <c r="F22" i="13"/>
  <c r="C22" i="13" s="1"/>
  <c r="H25" i="13"/>
  <c r="C25" i="13" s="1"/>
  <c r="J651" i="1"/>
  <c r="J640" i="1"/>
  <c r="H571" i="1"/>
  <c r="L560" i="1"/>
  <c r="J545" i="1"/>
  <c r="H338" i="1"/>
  <c r="H352" i="1" s="1"/>
  <c r="F338" i="1"/>
  <c r="F352" i="1" s="1"/>
  <c r="G192" i="1"/>
  <c r="H192" i="1"/>
  <c r="E128" i="2"/>
  <c r="C35" i="10"/>
  <c r="L309" i="1"/>
  <c r="E16" i="13"/>
  <c r="J655" i="1"/>
  <c r="J645" i="1"/>
  <c r="L570" i="1"/>
  <c r="I571" i="1"/>
  <c r="J636" i="1"/>
  <c r="G36" i="2"/>
  <c r="L565" i="1"/>
  <c r="K551" i="1"/>
  <c r="C138" i="2"/>
  <c r="H33" i="13"/>
  <c r="I662" i="1" l="1"/>
  <c r="E33" i="13"/>
  <c r="D35" i="13" s="1"/>
  <c r="C21" i="10"/>
  <c r="H647" i="1"/>
  <c r="C124" i="2"/>
  <c r="K598" i="1"/>
  <c r="G647" i="1" s="1"/>
  <c r="J647" i="1" s="1"/>
  <c r="L534" i="1"/>
  <c r="K549" i="1"/>
  <c r="G545" i="1"/>
  <c r="G552" i="1"/>
  <c r="K550" i="1"/>
  <c r="I545" i="1"/>
  <c r="L529" i="1"/>
  <c r="F552" i="1"/>
  <c r="L524" i="1"/>
  <c r="L247" i="1"/>
  <c r="H660" i="1" s="1"/>
  <c r="H664" i="1" s="1"/>
  <c r="C109" i="2"/>
  <c r="I452" i="1"/>
  <c r="I461" i="1" s="1"/>
  <c r="H642" i="1" s="1"/>
  <c r="L362" i="1"/>
  <c r="D145" i="2"/>
  <c r="C15" i="10"/>
  <c r="C10" i="10"/>
  <c r="C20" i="10"/>
  <c r="C18" i="10"/>
  <c r="C119" i="2"/>
  <c r="D6" i="13"/>
  <c r="C6" i="13" s="1"/>
  <c r="C118" i="2"/>
  <c r="C11" i="10"/>
  <c r="C16" i="13"/>
  <c r="C121" i="2"/>
  <c r="D7" i="13"/>
  <c r="C7" i="13" s="1"/>
  <c r="C110" i="2"/>
  <c r="L211" i="1"/>
  <c r="F660" i="1" s="1"/>
  <c r="F664" i="1" s="1"/>
  <c r="F672" i="1" s="1"/>
  <c r="C4" i="10" s="1"/>
  <c r="D5" i="13"/>
  <c r="C5" i="13" s="1"/>
  <c r="C62" i="2"/>
  <c r="C63" i="2" s="1"/>
  <c r="C104" i="2" s="1"/>
  <c r="J625" i="1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D31" i="13" s="1"/>
  <c r="C31" i="13" s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J51" i="1"/>
  <c r="G16" i="2"/>
  <c r="J19" i="1"/>
  <c r="G621" i="1" s="1"/>
  <c r="F33" i="13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G50" i="2"/>
  <c r="G51" i="2" s="1"/>
  <c r="H648" i="1"/>
  <c r="J648" i="1" s="1"/>
  <c r="J652" i="1"/>
  <c r="J642" i="1"/>
  <c r="G571" i="1"/>
  <c r="I434" i="1"/>
  <c r="G434" i="1"/>
  <c r="E104" i="2"/>
  <c r="I663" i="1"/>
  <c r="C27" i="10"/>
  <c r="G635" i="1"/>
  <c r="J635" i="1" s="1"/>
  <c r="L257" i="1" l="1"/>
  <c r="L271" i="1" s="1"/>
  <c r="G632" i="1" s="1"/>
  <c r="J632" i="1" s="1"/>
  <c r="K552" i="1"/>
  <c r="L545" i="1"/>
  <c r="H672" i="1"/>
  <c r="C6" i="10" s="1"/>
  <c r="H667" i="1"/>
  <c r="C115" i="2"/>
  <c r="C28" i="10"/>
  <c r="D24" i="10" s="1"/>
  <c r="C128" i="2"/>
  <c r="G672" i="1"/>
  <c r="C5" i="10" s="1"/>
  <c r="C145" i="2"/>
  <c r="I660" i="1"/>
  <c r="I664" i="1" s="1"/>
  <c r="I672" i="1" s="1"/>
  <c r="C7" i="10" s="1"/>
  <c r="F667" i="1"/>
  <c r="C51" i="2"/>
  <c r="G631" i="1"/>
  <c r="J631" i="1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D23" i="10"/>
  <c r="D10" i="10" l="1"/>
  <c r="C30" i="10"/>
  <c r="D26" i="10"/>
  <c r="D16" i="10"/>
  <c r="D13" i="10"/>
  <c r="D11" i="10"/>
  <c r="D21" i="10"/>
  <c r="D22" i="10"/>
  <c r="D27" i="10"/>
  <c r="D20" i="10"/>
  <c r="D18" i="10"/>
  <c r="D15" i="10"/>
  <c r="D17" i="10"/>
  <c r="D25" i="10"/>
  <c r="D12" i="10"/>
  <c r="D19" i="10"/>
  <c r="I667" i="1"/>
  <c r="H656" i="1"/>
  <c r="C41" i="10"/>
  <c r="D38" i="10" s="1"/>
  <c r="D28" i="10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<sst xmlns="http://schemas.openxmlformats.org/spreadsheetml/2006/main" count="3954" uniqueCount="912">
  <si>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</si>
  <si>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</si>
  <si>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</si>
  <si>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</si>
  <si>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</si>
  <si>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</si>
  <si>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</si>
  <si>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</si>
  <si>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</si>
  <si>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</si>
  <si>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</si>
  <si>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</si>
  <si>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</si>
  <si>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</si>
  <si>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</si>
  <si>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</si>
  <si>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</si>
  <si>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</si>
  <si>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</si>
  <si>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</si>
  <si>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</si>
  <si>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</si>
  <si>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</si>
  <si>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</si>
  <si>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</si>
  <si>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</si>
  <si>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</si>
  <si>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</si>
  <si>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</si>
  <si>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</si>
  <si>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</si>
  <si>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</si>
  <si>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</si>
  <si>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</si>
  <si>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</si>
  <si>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</si>
  <si>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</si>
  <si>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</si>
  <si>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</si>
  <si>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</si>
  <si>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</si>
  <si>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</si>
  <si>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</si>
  <si>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</si>
  <si>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</si>
  <si>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</si>
  <si>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</si>
  <si>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</si>
  <si>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</si>
  <si>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</si>
  <si>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</si>
  <si>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</si>
  <si>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</si>
  <si>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</si>
  <si>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</si>
  <si>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</si>
  <si>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</si>
  <si>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</si>
  <si>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</si>
  <si>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</si>
  <si>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</si>
  <si>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</si>
  <si>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</si>
  <si>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</si>
  <si>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</si>
  <si>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</si>
  <si>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</si>
  <si>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</si>
  <si>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</si>
  <si>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</si>
  <si>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</si>
  <si>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</si>
  <si>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</si>
  <si>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</si>
  <si>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</si>
  <si>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</si>
  <si>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</si>
  <si>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</si>
  <si>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</si>
  <si>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</si>
  <si>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</si>
  <si>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</si>
  <si>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</si>
  <si>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</si>
  <si>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</si>
  <si>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</si>
  <si>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</si>
  <si>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</si>
  <si>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</si>
  <si>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</si>
  <si>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</si>
  <si>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</si>
  <si>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</si>
  <si>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</si>
  <si>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</si>
  <si>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</si>
  <si>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</si>
  <si>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</si>
  <si>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</si>
  <si>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</si>
  <si>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</si>
  <si>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</si>
  <si>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</si>
  <si>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</si>
  <si>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</si>
  <si>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</si>
  <si>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</si>
  <si>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</si>
  <si>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</si>
  <si>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</si>
  <si>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</si>
  <si>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</si>
  <si>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</si>
  <si>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</si>
  <si>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</si>
  <si>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</si>
  <si>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</si>
  <si>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</si>
  <si>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</si>
  <si>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</si>
  <si>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</si>
  <si>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</si>
  <si>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</si>
  <si>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</si>
  <si>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</si>
  <si>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</si>
  <si>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</si>
  <si>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</si>
  <si>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</si>
  <si>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</si>
  <si>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</si>
  <si>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</si>
  <si>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</si>
  <si>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</si>
  <si>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</si>
  <si>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</si>
  <si>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</si>
  <si>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</si>
  <si>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</si>
  <si>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</si>
  <si>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</si>
  <si>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</si>
  <si>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</si>
  <si>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</si>
  <si>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</si>
  <si>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</si>
  <si>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</si>
  <si>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</si>
  <si>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</si>
  <si>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</si>
  <si>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</si>
  <si>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</si>
  <si>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</si>
  <si>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</si>
  <si>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</si>
  <si>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</si>
  <si>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</si>
  <si>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</si>
  <si>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</si>
  <si>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</si>
  <si>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</si>
  <si>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</si>
  <si>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</si>
  <si>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</si>
  <si>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</si>
  <si>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</si>
  <si>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</si>
  <si>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</si>
  <si>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</si>
  <si>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</si>
  <si>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</si>
  <si>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</si>
  <si>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</si>
  <si>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</si>
  <si>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</si>
  <si>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</si>
  <si>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</si>
  <si>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</si>
  <si>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</si>
  <si>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</si>
  <si>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</si>
  <si>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</si>
  <si>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</si>
  <si>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</si>
  <si>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</si>
  <si>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</si>
  <si>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</si>
  <si>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</si>
  <si>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</si>
  <si>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</si>
  <si>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</si>
  <si>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</si>
  <si>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</si>
  <si>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</si>
  <si>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</si>
  <si>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</si>
  <si>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</si>
  <si>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</si>
  <si>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</si>
  <si>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</si>
  <si>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</si>
  <si>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</si>
  <si>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</si>
  <si>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</si>
  <si>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</si>
  <si>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</si>
  <si>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</si>
  <si>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</si>
  <si>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</si>
  <si>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</si>
  <si>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</si>
  <si>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</si>
  <si>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</si>
  <si>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</si>
  <si>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</si>
  <si>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</si>
  <si>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</si>
  <si>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</si>
  <si>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</si>
  <si>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</si>
  <si>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</si>
  <si>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</si>
  <si>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</si>
  <si>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</si>
  <si>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</si>
  <si>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</si>
  <si>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</si>
  <si>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</si>
  <si>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</si>
  <si>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</si>
  <si>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</si>
  <si>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</si>
  <si>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</si>
  <si>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</si>
  <si>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</si>
  <si>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</si>
  <si>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</si>
  <si>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</si>
  <si>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</si>
  <si>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</si>
  <si>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</si>
  <si>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</si>
  <si>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</si>
  <si>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</si>
  <si>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</si>
  <si>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</si>
  <si>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</si>
  <si>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</si>
  <si>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</si>
  <si>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</si>
  <si>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</si>
  <si>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</si>
  <si>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</si>
  <si>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</si>
  <si>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</si>
  <si>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</si>
  <si>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</si>
  <si>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</si>
  <si>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</si>
  <si>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</si>
  <si>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</si>
  <si>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</si>
  <si>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</si>
  <si>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</si>
  <si>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</si>
  <si>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</si>
  <si>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</si>
  <si>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</si>
  <si>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</si>
  <si>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</si>
  <si>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</si>
  <si>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</si>
  <si>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</si>
  <si>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</si>
  <si>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</si>
  <si>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</si>
  <si>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</si>
  <si>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</si>
  <si>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</si>
  <si>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</si>
  <si>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</si>
  <si>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</si>
  <si>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</si>
  <si>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</si>
  <si>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</si>
  <si>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</si>
  <si>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</si>
  <si>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</si>
  <si>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</si>
  <si>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</si>
  <si>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</si>
  <si>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</si>
  <si>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</si>
  <si>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</si>
  <si>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</si>
  <si>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</si>
  <si>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</si>
  <si>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</si>
  <si>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</si>
  <si>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</si>
  <si>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</si>
  <si>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</si>
  <si>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</si>
  <si>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</si>
  <si>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</si>
  <si>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</si>
  <si>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</si>
  <si>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</si>
  <si>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</si>
  <si>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</si>
  <si>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</si>
  <si>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</si>
  <si>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</si>
  <si>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</si>
  <si>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</si>
  <si>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</si>
  <si>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</si>
  <si>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</si>
  <si>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</si>
  <si>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</si>
  <si>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</si>
  <si>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</si>
  <si>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</si>
  <si>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</si>
  <si>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</si>
  <si>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</si>
  <si>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</si>
  <si>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</si>
  <si>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</si>
  <si>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</si>
  <si>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</si>
  <si>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</si>
  <si>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</si>
  <si>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</si>
  <si>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</si>
  <si>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</si>
  <si>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</si>
  <si>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</si>
  <si>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</si>
  <si>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</si>
  <si>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</si>
  <si>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</si>
  <si>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</si>
  <si>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</si>
  <si>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</si>
  <si>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</si>
  <si>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</si>
  <si>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</si>
  <si>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</si>
  <si>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</si>
  <si>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</si>
  <si>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</si>
  <si>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</si>
  <si>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</si>
  <si>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</si>
  <si>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</si>
  <si>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</si>
  <si>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</si>
  <si>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</si>
  <si>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</si>
  <si>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</si>
  <si>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</si>
  <si>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</si>
  <si>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</si>
  <si>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</si>
  <si>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</si>
  <si>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</si>
  <si>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</si>
  <si>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</si>
  <si>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</si>
  <si>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</si>
  <si>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</si>
  <si>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</si>
  <si>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</si>
  <si>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</si>
  <si>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</si>
  <si>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</si>
  <si>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</si>
  <si>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</si>
  <si>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</si>
  <si>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</si>
  <si>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</si>
  <si>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</si>
  <si>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</si>
  <si>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</si>
  <si>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</si>
  <si>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</si>
  <si>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</si>
  <si>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</si>
  <si>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</si>
  <si>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</si>
  <si>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</si>
  <si>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</si>
  <si>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</si>
  <si>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</si>
  <si>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</si>
  <si>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</si>
  <si>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</si>
  <si>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</si>
  <si>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</si>
  <si>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</si>
  <si>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</si>
  <si>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</si>
  <si>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</si>
  <si>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</si>
  <si>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</si>
  <si>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</si>
  <si>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</si>
  <si>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</si>
  <si>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</si>
  <si>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</si>
  <si>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</si>
  <si>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</si>
  <si>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</si>
  <si>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</si>
  <si>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</si>
  <si>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</si>
  <si>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</si>
  <si>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</si>
  <si>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</si>
  <si>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</si>
  <si>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</si>
  <si>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</si>
  <si>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</si>
  <si>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</si>
  <si>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</si>
  <si>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</si>
  <si>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</si>
  <si>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</si>
  <si>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</si>
  <si>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</si>
  <si>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</si>
  <si>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</si>
  <si>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</si>
  <si>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</si>
  <si>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</si>
  <si>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</si>
  <si>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</si>
  <si>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</si>
  <si>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</si>
  <si>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</si>
  <si>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</si>
  <si>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</si>
  <si>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</si>
  <si>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</si>
  <si>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</si>
  <si>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</si>
  <si>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</si>
  <si>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</si>
  <si>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</si>
  <si>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</si>
  <si>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</si>
  <si>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</si>
  <si>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</si>
  <si>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</si>
  <si>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</si>
  <si>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</si>
  <si>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</si>
  <si>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</si>
  <si>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</si>
  <si>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</si>
  <si>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</si>
  <si>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</si>
  <si>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</si>
  <si>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</si>
  <si>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</si>
  <si>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</si>
  <si>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</si>
  <si>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</si>
  <si>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</si>
  <si>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</si>
  <si>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</si>
  <si>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</si>
  <si>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</si>
  <si>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</si>
  <si>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</si>
  <si>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</si>
  <si>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</si>
  <si>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</si>
  <si>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</si>
  <si>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</si>
  <si>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</si>
  <si>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</si>
  <si>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</si>
  <si>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</si>
  <si>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</si>
  <si>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</si>
  <si>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</si>
  <si>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</si>
  <si>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</si>
  <si>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</si>
  <si>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</si>
  <si>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</si>
  <si>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</si>
  <si>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</si>
  <si>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</si>
  <si>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</si>
  <si>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</si>
  <si>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</si>
  <si>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</si>
  <si>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</si>
  <si>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</si>
  <si>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</si>
  <si>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</si>
  <si>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</si>
  <si>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</si>
  <si>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</si>
  <si>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</si>
  <si>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</si>
  <si>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</si>
  <si>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</si>
  <si>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</si>
  <si>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</si>
  <si>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</si>
  <si>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</si>
  <si>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</si>
  <si>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</si>
  <si>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</si>
  <si>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</si>
  <si>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</si>
  <si>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</si>
  <si>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</si>
  <si>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</si>
  <si>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</si>
  <si>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</si>
  <si>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</si>
  <si>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</si>
  <si>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</si>
  <si>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</si>
  <si>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</si>
  <si>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</si>
  <si>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</si>
  <si>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</si>
  <si>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</si>
  <si>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</si>
  <si>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</si>
  <si>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</si>
  <si>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</si>
  <si>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</si>
  <si>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</si>
  <si>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</si>
  <si>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</si>
  <si>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</si>
  <si>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</si>
  <si>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</si>
  <si>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</si>
  <si>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</si>
  <si>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</si>
  <si>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</si>
  <si>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</si>
  <si>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</si>
  <si>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</si>
  <si>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</si>
  <si>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</si>
  <si>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</si>
  <si>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</si>
  <si>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</si>
  <si>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</si>
  <si>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</si>
  <si>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</si>
  <si>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</si>
  <si>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</si>
  <si>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</si>
  <si>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</si>
  <si>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</si>
  <si>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</si>
  <si>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</si>
  <si>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</si>
  <si>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</si>
  <si>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</si>
  <si>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</si>
  <si>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</si>
  <si>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</si>
  <si>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</si>
  <si>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</si>
  <si>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</si>
  <si>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</si>
  <si>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</si>
  <si>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</si>
  <si>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</si>
  <si>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</si>
  <si>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</si>
  <si>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</si>
  <si>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</si>
  <si>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</si>
  <si>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</si>
  <si>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</si>
  <si>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</si>
  <si>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</si>
  <si>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</si>
  <si>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</si>
  <si>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</si>
  <si>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</si>
  <si>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</si>
  <si>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</si>
  <si>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</si>
  <si>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</si>
  <si>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</si>
  <si>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</si>
  <si>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</si>
  <si>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</si>
  <si>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</si>
  <si>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</si>
  <si>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</si>
  <si>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</si>
  <si>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</si>
  <si>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</si>
  <si>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</si>
  <si>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</si>
  <si>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</si>
  <si>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</si>
  <si>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</si>
  <si>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</si>
  <si>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</si>
  <si>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</si>
  <si>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</si>
  <si>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</si>
  <si>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</si>
  <si>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</si>
  <si>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</si>
  <si>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</si>
  <si>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</si>
  <si>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</si>
  <si>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</si>
  <si>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</si>
  <si>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</si>
  <si>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</si>
  <si>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</si>
  <si>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</si>
  <si>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</si>
  <si>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</si>
  <si>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</si>
  <si>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</si>
  <si>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</si>
  <si>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</si>
  <si>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</si>
  <si>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</si>
  <si>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</si>
  <si>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</si>
  <si>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</si>
  <si>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</si>
  <si>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</si>
  <si>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</si>
  <si>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</si>
  <si>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</si>
  <si>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</si>
  <si>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</si>
  <si>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</si>
  <si>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</si>
  <si>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</si>
  <si>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</si>
  <si>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</si>
  <si>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</si>
  <si>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</si>
  <si>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</si>
  <si>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</si>
  <si>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</si>
  <si>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</si>
  <si>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</si>
  <si>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</si>
  <si>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</si>
  <si>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</si>
  <si>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</si>
  <si>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</si>
  <si>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</si>
  <si>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</si>
  <si>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</si>
  <si>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</si>
  <si>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</si>
  <si>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</si>
  <si>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</si>
  <si>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</si>
  <si>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</si>
  <si>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</si>
  <si>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</si>
  <si>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</si>
  <si>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</si>
  <si>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</si>
  <si>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</si>
  <si>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</si>
  <si>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</si>
  <si>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</si>
  <si>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</si>
  <si>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</si>
  <si>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</si>
  <si>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</si>
  <si>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</si>
  <si>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</si>
  <si>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</si>
  <si>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</si>
  <si>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</si>
  <si>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</si>
  <si>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</si>
  <si>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</si>
  <si>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</si>
  <si>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</si>
  <si>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</si>
  <si>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</si>
  <si>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</si>
  <si>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</si>
  <si>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</si>
  <si>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</si>
  <si>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</si>
  <si>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</si>
  <si>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</si>
  <si>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</si>
  <si>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</si>
  <si>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</si>
  <si>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</si>
  <si>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</si>
  <si>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</si>
  <si>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</si>
  <si>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</si>
  <si>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</si>
  <si>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</si>
  <si>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</si>
  <si>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</si>
  <si>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</si>
  <si>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</si>
  <si>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</si>
  <si>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</si>
  <si>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</si>
  <si>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</si>
  <si>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</si>
  <si>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</si>
  <si>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</si>
  <si>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</si>
  <si>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</si>
  <si>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</si>
  <si>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</si>
  <si>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</si>
  <si>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</si>
  <si>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</si>
  <si>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</si>
  <si>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</si>
  <si>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</si>
  <si>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</si>
  <si>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</si>
  <si>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</si>
  <si>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</si>
  <si>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</si>
  <si>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</si>
  <si>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</si>
  <si>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</si>
  <si>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</si>
  <si>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</si>
  <si>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</si>
  <si>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</si>
  <si>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</si>
  <si>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</si>
  <si>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</si>
  <si>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</si>
  <si>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</si>
  <si>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</si>
  <si>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</si>
  <si>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</si>
  <si>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</si>
  <si>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</si>
  <si>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</si>
  <si>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</si>
  <si>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</si>
  <si>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</si>
  <si>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</si>
  <si>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</si>
  <si>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</si>
  <si>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</si>
  <si>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</si>
  <si>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</si>
  <si>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</si>
  <si>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</si>
  <si>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</si>
  <si>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</si>
  <si>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</si>
  <si>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</si>
  <si>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</si>
  <si>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</si>
  <si>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</si>
  <si>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</si>
  <si>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</si>
  <si>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</si>
  <si>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</si>
  <si>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</si>
  <si>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</si>
  <si>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</si>
  <si>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</si>
  <si>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</si>
  <si>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</si>
  <si>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</si>
  <si>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</si>
  <si>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</si>
  <si>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</si>
  <si>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</si>
  <si>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</si>
  <si>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</si>
  <si>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</si>
  <si>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</si>
  <si>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</si>
  <si>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</si>
  <si>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</si>
  <si>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</si>
  <si>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</si>
  <si>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</si>
  <si>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</si>
  <si>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</si>
  <si>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</si>
  <si>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</si>
  <si>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</si>
  <si>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</si>
  <si>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</si>
  <si>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</si>
  <si>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</si>
  <si>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</si>
  <si>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</si>
  <si>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</si>
  <si>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</si>
  <si>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</si>
  <si>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</si>
  <si>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</si>
  <si>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</si>
  <si>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</si>
  <si>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</si>
  <si>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</si>
  <si>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</si>
  <si>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</si>
  <si>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</si>
  <si>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</si>
  <si>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</si>
  <si>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</si>
  <si>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</si>
  <si>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</si>
  <si>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</si>
  <si>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</si>
  <si>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</si>
  <si>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</si>
  <si>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</si>
  <si>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</si>
  <si>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</si>
  <si>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</si>
  <si>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</si>
  <si>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</si>
  <si>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</si>
  <si>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</si>
  <si>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</si>
  <si>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</si>
  <si>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</si>
  <si>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</si>
  <si>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</si>
  <si>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</si>
  <si>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</si>
  <si>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</si>
  <si>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</si>
  <si>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</si>
  <si>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</si>
  <si>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</si>
  <si>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</si>
  <si>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</si>
  <si>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</si>
  <si>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</si>
  <si>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</si>
  <si>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</si>
  <si>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</si>
  <si>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</si>
  <si>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</si>
  <si>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</si>
  <si>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</si>
  <si>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</si>
  <si>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</si>
  <si>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</si>
  <si>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</si>
  <si>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</si>
  <si>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</si>
  <si>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</si>
  <si>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</si>
  <si>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</si>
  <si>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</si>
  <si>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</si>
  <si>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</si>
  <si>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</si>
  <si>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</si>
  <si>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</si>
  <si>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</si>
  <si>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</si>
  <si>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</si>
  <si>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</si>
  <si>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</si>
  <si>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</si>
  <si>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</si>
  <si>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</si>
  <si>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</si>
  <si>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</si>
  <si>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</si>
  <si>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</si>
  <si>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</si>
  <si>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</si>
  <si>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</si>
  <si>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</si>
  <si>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</si>
  <si>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</si>
  <si>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</si>
  <si>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</si>
  <si>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</si>
  <si>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</si>
  <si>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</si>
  <si>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</si>
  <si>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</si>
  <si>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</si>
  <si>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</si>
  <si>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</si>
  <si>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</si>
  <si>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</si>
  <si>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</si>
  <si>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Hampstead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</si>
</sst>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zoomScaleNormal="100" workbookViewId="0">
      <pane xSplit="5" ySplit="3" topLeftCell="F634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6640625" hidden="1" customWidth="1"/>
    <col min="5" max="5" width="6.6640625" bestFit="1" customWidth="1"/>
    <col min="6" max="6" width="17" style="20" customWidth="1"/>
    <col min="7" max="8" width="17.1640625" style="20" customWidth="1"/>
    <col min="9" max="9" width="18.66406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/>
      <c r="C2" s="21"/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1876565.19+525</f>
        <v>1877090.19</v>
      </c>
      <c r="G9" s="18">
        <v>66424.95</v>
      </c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238022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214704.03+5950.03</f>
        <v>220654.06</v>
      </c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26686.09</v>
      </c>
      <c r="G13" s="18">
        <v>4435.13</v>
      </c>
      <c r="H13" s="18">
        <v>166934.41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4075.59</v>
      </c>
      <c r="G14" s="18">
        <v>0.36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8415.33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2128505.9299999997</v>
      </c>
      <c r="G19" s="41">
        <f>SUM(G9:G18)</f>
        <v>79275.77</v>
      </c>
      <c r="H19" s="41">
        <f>SUM(H9:H18)</f>
        <v>166934.41</v>
      </c>
      <c r="I19" s="41">
        <f>SUM(I9:I18)</f>
        <v>0</v>
      </c>
      <c r="J19" s="41">
        <f>SUM(J9:J18)</f>
        <v>238022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55719.65</v>
      </c>
      <c r="H22" s="18">
        <v>164934.41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6500</v>
      </c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91472.37</v>
      </c>
      <c r="G24" s="18">
        <v>14587.28</v>
      </c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54983.51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2340</v>
      </c>
      <c r="G30" s="18">
        <v>8968.84</v>
      </c>
      <c r="H30" s="18">
        <v>2000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155295.88</v>
      </c>
      <c r="G32" s="41">
        <f>SUM(G22:G31)</f>
        <v>79275.77</v>
      </c>
      <c r="H32" s="41">
        <f>SUM(H22:H31)</f>
        <v>166934.41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250000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6889.71</v>
      </c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200000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238022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1716320.34-200000</f>
        <v>1516320.34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1973210.05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238022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2128505.9300000002</v>
      </c>
      <c r="G52" s="41">
        <f>G51+G32</f>
        <v>79275.77</v>
      </c>
      <c r="H52" s="41">
        <f>H51+H32</f>
        <v>166934.41</v>
      </c>
      <c r="I52" s="41">
        <f>I51+I32</f>
        <v>0</v>
      </c>
      <c r="J52" s="41">
        <f>J51+J32</f>
        <v>238022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f>18387986-2305518</f>
        <v>16082468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16082468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158214.6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158214.6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46.41</v>
      </c>
      <c r="G96" s="18"/>
      <c r="H96" s="18"/>
      <c r="I96" s="18"/>
      <c r="J96" s="18">
        <v>1673.12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208812.07-10776.2</f>
        <v>198035.87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178.77</v>
      </c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237260.62</v>
      </c>
      <c r="G110" s="18"/>
      <c r="H110" s="18">
        <v>4940.45</v>
      </c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237485.8</v>
      </c>
      <c r="G111" s="41">
        <f>SUM(G96:G110)</f>
        <v>198035.87</v>
      </c>
      <c r="H111" s="41">
        <f>SUM(H96:H110)</f>
        <v>4940.45</v>
      </c>
      <c r="I111" s="41">
        <f>SUM(I96:I110)</f>
        <v>0</v>
      </c>
      <c r="J111" s="41">
        <f>SUM(J96:J110)</f>
        <v>1673.12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16478168.4</v>
      </c>
      <c r="G112" s="41">
        <f>G60+G111</f>
        <v>198035.87</v>
      </c>
      <c r="H112" s="41">
        <f>H60+H79+H94+H111</f>
        <v>4940.45</v>
      </c>
      <c r="I112" s="41">
        <f>I60+I111</f>
        <v>0</v>
      </c>
      <c r="J112" s="41">
        <f>J60+J111</f>
        <v>1673.12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2859848.76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2305518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>
        <v>2691.23</v>
      </c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5168057.99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347866.12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3325.49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347866.12</v>
      </c>
      <c r="G136" s="41">
        <f>SUM(G123:G135)</f>
        <v>3325.49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5515924.1100000003</v>
      </c>
      <c r="G140" s="41">
        <f>G121+SUM(G136:G137)</f>
        <v>3325.49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59809.06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8128.66+29700</f>
        <v>37828.660000000003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f>55775.06+15612.38</f>
        <v>71387.44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277773.40000000002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156168.35999999999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156168.35999999999</v>
      </c>
      <c r="G162" s="41">
        <f>SUM(G150:G161)</f>
        <v>71387.44</v>
      </c>
      <c r="H162" s="41">
        <f>SUM(H150:H161)</f>
        <v>375411.12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156168.35999999999</v>
      </c>
      <c r="G169" s="41">
        <f>G147+G162+SUM(G163:G168)</f>
        <v>71387.44</v>
      </c>
      <c r="H169" s="41">
        <f>H147+H162+SUM(H163:H168)</f>
        <v>375411.12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10776.2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10776.2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10776.2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22150260.870000001</v>
      </c>
      <c r="G193" s="47">
        <f>G112+G140+G169+G192</f>
        <v>283525</v>
      </c>
      <c r="H193" s="47">
        <f>H112+H140+H169+H192</f>
        <v>380351.57</v>
      </c>
      <c r="I193" s="47">
        <f>I112+I140+I169+I192</f>
        <v>0</v>
      </c>
      <c r="J193" s="47">
        <f>J112+J140+J192</f>
        <v>1673.12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2460356.2000000002</v>
      </c>
      <c r="G197" s="18">
        <v>1251072.1000000001</v>
      </c>
      <c r="H197" s="18">
        <v>129166.96</v>
      </c>
      <c r="I197" s="18">
        <v>27175.63</v>
      </c>
      <c r="J197" s="18">
        <v>45098.52</v>
      </c>
      <c r="K197" s="18">
        <v>3597.71</v>
      </c>
      <c r="L197" s="19">
        <f>SUM(F197:K197)</f>
        <v>3916467.12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1043159.95</v>
      </c>
      <c r="G198" s="18">
        <v>530438.77</v>
      </c>
      <c r="H198" s="18">
        <v>65539.75</v>
      </c>
      <c r="I198" s="18">
        <v>5068.66</v>
      </c>
      <c r="J198" s="18">
        <v>1059.03</v>
      </c>
      <c r="K198" s="18">
        <v>800.92</v>
      </c>
      <c r="L198" s="19">
        <f>SUM(F198:K198)</f>
        <v>1646067.0799999998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3394.6</v>
      </c>
      <c r="G200" s="18">
        <v>1726.13</v>
      </c>
      <c r="H200" s="18"/>
      <c r="I200" s="18">
        <v>1155.71</v>
      </c>
      <c r="J200" s="18"/>
      <c r="K200" s="18"/>
      <c r="L200" s="19">
        <f>SUM(F200:K200)</f>
        <v>6276.44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306289.95</v>
      </c>
      <c r="G202" s="18">
        <v>155746.07</v>
      </c>
      <c r="H202" s="18">
        <v>7976.67</v>
      </c>
      <c r="I202" s="18">
        <v>524.16</v>
      </c>
      <c r="J202" s="18">
        <v>1133.43</v>
      </c>
      <c r="K202" s="18">
        <v>1608.2</v>
      </c>
      <c r="L202" s="19">
        <f t="shared" ref="L202:L208" si="0">SUM(F202:K202)</f>
        <v>473278.48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60956.44</v>
      </c>
      <c r="G203" s="18">
        <v>59532.71</v>
      </c>
      <c r="H203" s="18">
        <v>25713.41</v>
      </c>
      <c r="I203" s="18">
        <v>14752.76</v>
      </c>
      <c r="J203" s="18">
        <v>1096.6099999999999</v>
      </c>
      <c r="K203" s="18"/>
      <c r="L203" s="19">
        <f t="shared" si="0"/>
        <v>162051.93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2546.46</v>
      </c>
      <c r="G204" s="18">
        <v>1294.8499999999999</v>
      </c>
      <c r="H204" s="18">
        <v>144199.03</v>
      </c>
      <c r="I204" s="18">
        <v>407.12</v>
      </c>
      <c r="J204" s="18"/>
      <c r="K204" s="18">
        <v>8865.34</v>
      </c>
      <c r="L204" s="19">
        <f t="shared" si="0"/>
        <v>157312.79999999999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283356.42</v>
      </c>
      <c r="G205" s="18">
        <v>144084.54999999999</v>
      </c>
      <c r="H205" s="18">
        <v>11033</v>
      </c>
      <c r="I205" s="18">
        <v>2238.02</v>
      </c>
      <c r="J205" s="18">
        <v>104.95</v>
      </c>
      <c r="K205" s="18">
        <v>2087</v>
      </c>
      <c r="L205" s="19">
        <f t="shared" si="0"/>
        <v>442903.94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285223.98</v>
      </c>
      <c r="G207" s="18">
        <v>145703.06</v>
      </c>
      <c r="H207" s="18">
        <v>104588.68</v>
      </c>
      <c r="I207" s="18">
        <v>155315.87</v>
      </c>
      <c r="J207" s="18">
        <v>1036.04</v>
      </c>
      <c r="K207" s="18">
        <v>1747.14</v>
      </c>
      <c r="L207" s="19">
        <f t="shared" si="0"/>
        <v>693614.77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262145.65000000002</v>
      </c>
      <c r="I208" s="18"/>
      <c r="J208" s="18"/>
      <c r="K208" s="18"/>
      <c r="L208" s="19">
        <f t="shared" si="0"/>
        <v>262145.65000000002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>
        <v>3112.98</v>
      </c>
      <c r="J209" s="18"/>
      <c r="K209" s="18"/>
      <c r="L209" s="19">
        <f>SUM(F209:K209)</f>
        <v>3112.98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4445284</v>
      </c>
      <c r="G211" s="41">
        <f t="shared" si="1"/>
        <v>2289598.2400000002</v>
      </c>
      <c r="H211" s="41">
        <f t="shared" si="1"/>
        <v>750363.15000000014</v>
      </c>
      <c r="I211" s="41">
        <f t="shared" si="1"/>
        <v>209750.91</v>
      </c>
      <c r="J211" s="41">
        <f t="shared" si="1"/>
        <v>49528.579999999994</v>
      </c>
      <c r="K211" s="41">
        <f t="shared" si="1"/>
        <v>18706.309999999998</v>
      </c>
      <c r="L211" s="41">
        <f t="shared" si="1"/>
        <v>7763231.1900000013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2201788.91</v>
      </c>
      <c r="G215" s="18">
        <v>1119592.6399999999</v>
      </c>
      <c r="H215" s="18">
        <v>12803.77</v>
      </c>
      <c r="I215" s="18">
        <v>118364.97</v>
      </c>
      <c r="J215" s="18">
        <v>44047.97</v>
      </c>
      <c r="K215" s="18">
        <v>5319.13</v>
      </c>
      <c r="L215" s="19">
        <f>SUM(F215:K215)</f>
        <v>3501917.39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979377.95</v>
      </c>
      <c r="G216" s="18">
        <v>498006.12</v>
      </c>
      <c r="H216" s="18">
        <v>287426.96999999997</v>
      </c>
      <c r="I216" s="18">
        <v>2634.24</v>
      </c>
      <c r="J216" s="18">
        <v>1124.3499999999999</v>
      </c>
      <c r="K216" s="18">
        <v>850.32</v>
      </c>
      <c r="L216" s="19">
        <f>SUM(F216:K216)</f>
        <v>1769419.95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>
        <v>45313.440000000002</v>
      </c>
      <c r="G217" s="18">
        <v>23041.53</v>
      </c>
      <c r="H217" s="18">
        <v>7027</v>
      </c>
      <c r="I217" s="18">
        <v>5427.17</v>
      </c>
      <c r="J217" s="18">
        <v>883.8</v>
      </c>
      <c r="K217" s="18">
        <v>4291.17</v>
      </c>
      <c r="L217" s="19">
        <f>SUM(F217:K217)</f>
        <v>85984.11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2595.4</v>
      </c>
      <c r="G218" s="18">
        <v>1319.74</v>
      </c>
      <c r="H218" s="18"/>
      <c r="I218" s="18">
        <v>1227.01</v>
      </c>
      <c r="J218" s="18"/>
      <c r="K218" s="18"/>
      <c r="L218" s="19">
        <f>SUM(F218:K218)</f>
        <v>5142.1500000000005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394274.65</v>
      </c>
      <c r="G220" s="18">
        <v>200485.61</v>
      </c>
      <c r="H220" s="18">
        <v>11258.95</v>
      </c>
      <c r="I220" s="18">
        <v>2463.77</v>
      </c>
      <c r="J220" s="18">
        <v>1501.27</v>
      </c>
      <c r="K220" s="18">
        <v>1707.4</v>
      </c>
      <c r="L220" s="19">
        <f t="shared" ref="L220:L226" si="2">SUM(F220:K220)</f>
        <v>611691.65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61885.55</v>
      </c>
      <c r="G221" s="18">
        <v>61765.5</v>
      </c>
      <c r="H221" s="18">
        <v>27299.59</v>
      </c>
      <c r="I221" s="18">
        <v>9229.66</v>
      </c>
      <c r="J221" s="18">
        <v>3015.42</v>
      </c>
      <c r="K221" s="18"/>
      <c r="L221" s="19">
        <f t="shared" si="2"/>
        <v>163195.72000000003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2703.54</v>
      </c>
      <c r="G222" s="18">
        <v>1374.73</v>
      </c>
      <c r="H222" s="18">
        <v>153094.22</v>
      </c>
      <c r="I222" s="18">
        <v>432.23</v>
      </c>
      <c r="J222" s="18"/>
      <c r="K222" s="18">
        <v>9412.2199999999993</v>
      </c>
      <c r="L222" s="19">
        <f t="shared" si="2"/>
        <v>167016.94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295893.45</v>
      </c>
      <c r="G223" s="18">
        <v>150459.53</v>
      </c>
      <c r="H223" s="18">
        <v>12108.68</v>
      </c>
      <c r="I223" s="18">
        <v>4239.67</v>
      </c>
      <c r="J223" s="18">
        <v>680.44</v>
      </c>
      <c r="K223" s="18">
        <v>3583.96</v>
      </c>
      <c r="L223" s="19">
        <f t="shared" si="2"/>
        <v>466965.73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300535.84999999998</v>
      </c>
      <c r="G225" s="18">
        <v>153530.29</v>
      </c>
      <c r="H225" s="18">
        <v>111040.43</v>
      </c>
      <c r="I225" s="18">
        <v>164896.82</v>
      </c>
      <c r="J225" s="18">
        <v>1099.96</v>
      </c>
      <c r="K225" s="18">
        <v>1356.41</v>
      </c>
      <c r="L225" s="19">
        <f t="shared" si="2"/>
        <v>732459.76000000013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v>300004.95</v>
      </c>
      <c r="I226" s="18"/>
      <c r="J226" s="18"/>
      <c r="K226" s="18"/>
      <c r="L226" s="19">
        <f t="shared" si="2"/>
        <v>300004.95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>
        <v>3305.02</v>
      </c>
      <c r="J227" s="18"/>
      <c r="K227" s="18"/>
      <c r="L227" s="19">
        <f>SUM(F227:K227)</f>
        <v>3305.02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4284368.74</v>
      </c>
      <c r="G229" s="41">
        <f>SUM(G215:G228)</f>
        <v>2209575.6899999995</v>
      </c>
      <c r="H229" s="41">
        <f>SUM(H215:H228)</f>
        <v>922064.56</v>
      </c>
      <c r="I229" s="41">
        <f>SUM(I215:I228)</f>
        <v>312220.56000000006</v>
      </c>
      <c r="J229" s="41">
        <f>SUM(J215:J228)</f>
        <v>52353.21</v>
      </c>
      <c r="K229" s="41">
        <f t="shared" si="3"/>
        <v>26520.609999999997</v>
      </c>
      <c r="L229" s="41">
        <f t="shared" si="3"/>
        <v>7807103.3700000001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4370756.41</v>
      </c>
      <c r="I233" s="18"/>
      <c r="J233" s="18"/>
      <c r="K233" s="18"/>
      <c r="L233" s="19">
        <f>SUM(F233:K233)</f>
        <v>4370756.41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79962.350000000006</v>
      </c>
      <c r="G234" s="18">
        <v>40660.239999999998</v>
      </c>
      <c r="H234" s="18">
        <v>1137262.3</v>
      </c>
      <c r="I234" s="18"/>
      <c r="J234" s="18"/>
      <c r="K234" s="18"/>
      <c r="L234" s="19">
        <f>SUM(F234:K234)</f>
        <v>1257884.8900000001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>
        <v>96656.1</v>
      </c>
      <c r="I240" s="18"/>
      <c r="J240" s="18"/>
      <c r="K240" s="18"/>
      <c r="L240" s="19">
        <f t="shared" si="4"/>
        <v>96656.1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193815.64</v>
      </c>
      <c r="I244" s="18"/>
      <c r="J244" s="18"/>
      <c r="K244" s="18"/>
      <c r="L244" s="19">
        <f t="shared" si="4"/>
        <v>193815.64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79962.350000000006</v>
      </c>
      <c r="G247" s="41">
        <f t="shared" si="5"/>
        <v>40660.239999999998</v>
      </c>
      <c r="H247" s="41">
        <f t="shared" si="5"/>
        <v>5798490.4499999993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5919113.04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>
        <v>9688.2900000000009</v>
      </c>
      <c r="G253" s="18">
        <v>4926.42</v>
      </c>
      <c r="H253" s="18"/>
      <c r="I253" s="18"/>
      <c r="J253" s="18"/>
      <c r="K253" s="18"/>
      <c r="L253" s="19">
        <f t="shared" si="6"/>
        <v>14614.710000000001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100143.8</v>
      </c>
      <c r="I255" s="18"/>
      <c r="J255" s="18"/>
      <c r="K255" s="18"/>
      <c r="L255" s="19">
        <f t="shared" si="6"/>
        <v>100143.8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9688.2900000000009</v>
      </c>
      <c r="G256" s="41">
        <f t="shared" si="7"/>
        <v>4926.42</v>
      </c>
      <c r="H256" s="41">
        <f t="shared" si="7"/>
        <v>100143.8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114758.51000000001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8819303.379999999</v>
      </c>
      <c r="G257" s="41">
        <f t="shared" si="8"/>
        <v>4544760.59</v>
      </c>
      <c r="H257" s="41">
        <f t="shared" si="8"/>
        <v>7571061.959999999</v>
      </c>
      <c r="I257" s="41">
        <f t="shared" si="8"/>
        <v>521971.47000000009</v>
      </c>
      <c r="J257" s="41">
        <f t="shared" si="8"/>
        <v>101881.79</v>
      </c>
      <c r="K257" s="41">
        <f t="shared" si="8"/>
        <v>45226.92</v>
      </c>
      <c r="L257" s="41">
        <f t="shared" si="8"/>
        <v>21604206.110000003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10776.2</v>
      </c>
      <c r="L263" s="19">
        <f>SUM(F263:K263)</f>
        <v>10776.2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10776.2</v>
      </c>
      <c r="L270" s="41">
        <f t="shared" si="9"/>
        <v>10776.2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8819303.379999999</v>
      </c>
      <c r="G271" s="42">
        <f t="shared" si="11"/>
        <v>4544760.59</v>
      </c>
      <c r="H271" s="42">
        <f t="shared" si="11"/>
        <v>7571061.959999999</v>
      </c>
      <c r="I271" s="42">
        <f t="shared" si="11"/>
        <v>521971.47000000009</v>
      </c>
      <c r="J271" s="42">
        <f t="shared" si="11"/>
        <v>101881.79</v>
      </c>
      <c r="K271" s="42">
        <f t="shared" si="11"/>
        <v>56003.119999999995</v>
      </c>
      <c r="L271" s="42">
        <f t="shared" si="11"/>
        <v>21614982.310000002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28877.84</v>
      </c>
      <c r="G276" s="18"/>
      <c r="H276" s="18"/>
      <c r="I276" s="18">
        <v>261.01</v>
      </c>
      <c r="J276" s="18">
        <v>1212.5999999999999</v>
      </c>
      <c r="K276" s="18">
        <v>226.13</v>
      </c>
      <c r="L276" s="19">
        <f>SUM(F276:K276)</f>
        <v>30577.579999999998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106972.53</v>
      </c>
      <c r="G277" s="18">
        <v>8183.4</v>
      </c>
      <c r="H277" s="18">
        <v>727.56</v>
      </c>
      <c r="I277" s="18">
        <v>2323.42</v>
      </c>
      <c r="J277" s="18">
        <v>3342.88</v>
      </c>
      <c r="K277" s="18"/>
      <c r="L277" s="19">
        <f>SUM(F277:K277)</f>
        <v>121549.79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>
        <v>11016.18</v>
      </c>
      <c r="I281" s="18"/>
      <c r="J281" s="18"/>
      <c r="K281" s="18"/>
      <c r="L281" s="19">
        <f t="shared" ref="L281:L287" si="12">SUM(F281:K281)</f>
        <v>11016.18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3558.2</v>
      </c>
      <c r="G282" s="18"/>
      <c r="H282" s="18">
        <v>16955.37</v>
      </c>
      <c r="I282" s="18">
        <v>828.51</v>
      </c>
      <c r="J282" s="18"/>
      <c r="K282" s="18"/>
      <c r="L282" s="19">
        <f t="shared" si="12"/>
        <v>21342.079999999998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139408.57</v>
      </c>
      <c r="G290" s="42">
        <f t="shared" si="13"/>
        <v>8183.4</v>
      </c>
      <c r="H290" s="42">
        <f t="shared" si="13"/>
        <v>28699.11</v>
      </c>
      <c r="I290" s="42">
        <f t="shared" si="13"/>
        <v>3412.9400000000005</v>
      </c>
      <c r="J290" s="42">
        <f t="shared" si="13"/>
        <v>4555.4799999999996</v>
      </c>
      <c r="K290" s="42">
        <f t="shared" si="13"/>
        <v>226.13</v>
      </c>
      <c r="L290" s="41">
        <f t="shared" si="13"/>
        <v>184485.62999999998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v>30659.22</v>
      </c>
      <c r="G295" s="18"/>
      <c r="H295" s="18"/>
      <c r="I295" s="18">
        <v>277.11</v>
      </c>
      <c r="J295" s="18">
        <v>1287.4000000000001</v>
      </c>
      <c r="K295" s="18">
        <v>240.07</v>
      </c>
      <c r="L295" s="19">
        <f>SUM(F295:K295)</f>
        <v>32463.800000000003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113571.34</v>
      </c>
      <c r="G296" s="18">
        <v>8688.2000000000007</v>
      </c>
      <c r="H296" s="18">
        <v>772.44</v>
      </c>
      <c r="I296" s="18">
        <v>2466.7399999999998</v>
      </c>
      <c r="J296" s="18">
        <v>3549.09</v>
      </c>
      <c r="K296" s="18"/>
      <c r="L296" s="19">
        <f>SUM(F296:K296)</f>
        <v>129047.81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>
        <v>11695.73</v>
      </c>
      <c r="I300" s="18"/>
      <c r="J300" s="18"/>
      <c r="K300" s="18"/>
      <c r="L300" s="19">
        <f t="shared" ref="L300:L306" si="14">SUM(F300:K300)</f>
        <v>11695.73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3777.69</v>
      </c>
      <c r="G301" s="18"/>
      <c r="H301" s="18">
        <v>18001.29</v>
      </c>
      <c r="I301" s="18">
        <v>879.62</v>
      </c>
      <c r="J301" s="18"/>
      <c r="K301" s="18"/>
      <c r="L301" s="19">
        <f t="shared" si="14"/>
        <v>22658.6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148008.25</v>
      </c>
      <c r="G309" s="42">
        <f t="shared" si="15"/>
        <v>8688.2000000000007</v>
      </c>
      <c r="H309" s="42">
        <f t="shared" si="15"/>
        <v>30469.46</v>
      </c>
      <c r="I309" s="42">
        <f t="shared" si="15"/>
        <v>3623.47</v>
      </c>
      <c r="J309" s="42">
        <f t="shared" si="15"/>
        <v>4836.49</v>
      </c>
      <c r="K309" s="42">
        <f t="shared" si="15"/>
        <v>240.07</v>
      </c>
      <c r="L309" s="41">
        <f t="shared" si="15"/>
        <v>195865.94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287416.82</v>
      </c>
      <c r="G338" s="41">
        <f t="shared" si="20"/>
        <v>16871.599999999999</v>
      </c>
      <c r="H338" s="41">
        <f t="shared" si="20"/>
        <v>59168.57</v>
      </c>
      <c r="I338" s="41">
        <f t="shared" si="20"/>
        <v>7036.41</v>
      </c>
      <c r="J338" s="41">
        <f t="shared" si="20"/>
        <v>9391.9699999999993</v>
      </c>
      <c r="K338" s="41">
        <f t="shared" si="20"/>
        <v>466.2</v>
      </c>
      <c r="L338" s="41">
        <f t="shared" si="20"/>
        <v>380351.56999999995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287416.82</v>
      </c>
      <c r="G352" s="41">
        <f>G338</f>
        <v>16871.599999999999</v>
      </c>
      <c r="H352" s="41">
        <f>H338</f>
        <v>59168.57</v>
      </c>
      <c r="I352" s="41">
        <f>I338</f>
        <v>7036.41</v>
      </c>
      <c r="J352" s="41">
        <f>J338</f>
        <v>9391.9699999999993</v>
      </c>
      <c r="K352" s="47">
        <f>K338+K351</f>
        <v>466.2</v>
      </c>
      <c r="L352" s="41">
        <f>L338+L351</f>
        <v>380351.56999999995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83417.81</v>
      </c>
      <c r="G358" s="18">
        <v>2750.82</v>
      </c>
      <c r="H358" s="18">
        <v>2.76</v>
      </c>
      <c r="I358" s="18">
        <v>64767.94</v>
      </c>
      <c r="J358" s="18"/>
      <c r="K358" s="18"/>
      <c r="L358" s="13">
        <f>SUM(F358:K358)</f>
        <v>150939.33000000002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61604.46</v>
      </c>
      <c r="G359" s="18">
        <v>2031.5</v>
      </c>
      <c r="H359" s="18">
        <v>2.93</v>
      </c>
      <c r="I359" s="18">
        <v>68946.78</v>
      </c>
      <c r="J359" s="18"/>
      <c r="K359" s="18"/>
      <c r="L359" s="19">
        <f>SUM(F359:K359)</f>
        <v>132585.66999999998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145022.26999999999</v>
      </c>
      <c r="G362" s="47">
        <f t="shared" si="22"/>
        <v>4782.32</v>
      </c>
      <c r="H362" s="47">
        <f t="shared" si="22"/>
        <v>5.6899999999999995</v>
      </c>
      <c r="I362" s="47">
        <f t="shared" si="22"/>
        <v>133714.72</v>
      </c>
      <c r="J362" s="47">
        <f t="shared" si="22"/>
        <v>0</v>
      </c>
      <c r="K362" s="47">
        <f t="shared" si="22"/>
        <v>0</v>
      </c>
      <c r="L362" s="47">
        <f t="shared" si="22"/>
        <v>283525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44945.83</v>
      </c>
      <c r="G367" s="18">
        <v>47901.91</v>
      </c>
      <c r="H367" s="18"/>
      <c r="I367" s="56">
        <f>SUM(F367:H367)</f>
        <v>92847.74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19822.11</v>
      </c>
      <c r="G368" s="63">
        <v>21044.87</v>
      </c>
      <c r="H368" s="63"/>
      <c r="I368" s="56">
        <f>SUM(F368:H368)</f>
        <v>40866.979999999996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64767.94</v>
      </c>
      <c r="G369" s="47">
        <f>SUM(G367:G368)</f>
        <v>68946.78</v>
      </c>
      <c r="H369" s="47">
        <f>SUM(H367:H368)</f>
        <v>0</v>
      </c>
      <c r="I369" s="47">
        <f>SUM(I367:I368)</f>
        <v>133714.72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>
        <v>1673.12</v>
      </c>
      <c r="I388" s="18"/>
      <c r="J388" s="24" t="s">
        <v>289</v>
      </c>
      <c r="K388" s="24" t="s">
        <v>289</v>
      </c>
      <c r="L388" s="56">
        <f t="shared" si="25"/>
        <v>1673.12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1673.12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1673.12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1673.12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1673.12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v>238022</v>
      </c>
      <c r="G440" s="18"/>
      <c r="H440" s="18"/>
      <c r="I440" s="56">
        <f t="shared" si="33"/>
        <v>238022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238022</v>
      </c>
      <c r="G446" s="13">
        <f>SUM(G439:G445)</f>
        <v>0</v>
      </c>
      <c r="H446" s="13">
        <f>SUM(H439:H445)</f>
        <v>0</v>
      </c>
      <c r="I446" s="13">
        <f>SUM(I439:I445)</f>
        <v>238022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238022</v>
      </c>
      <c r="G459" s="18"/>
      <c r="H459" s="18"/>
      <c r="I459" s="56">
        <f t="shared" si="34"/>
        <v>238022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238022</v>
      </c>
      <c r="G460" s="83">
        <f>SUM(G454:G459)</f>
        <v>0</v>
      </c>
      <c r="H460" s="83">
        <f>SUM(H454:H459)</f>
        <v>0</v>
      </c>
      <c r="I460" s="83">
        <f>SUM(I454:I459)</f>
        <v>238022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238022</v>
      </c>
      <c r="G461" s="42">
        <f>G452+G460</f>
        <v>0</v>
      </c>
      <c r="H461" s="42">
        <f>H452+H460</f>
        <v>0</v>
      </c>
      <c r="I461" s="42">
        <f>I452+I460</f>
        <v>238022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1437931.49</v>
      </c>
      <c r="G465" s="18">
        <v>0</v>
      </c>
      <c r="H465" s="18">
        <v>0</v>
      </c>
      <c r="I465" s="18"/>
      <c r="J465" s="18">
        <v>236348.88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22150260.870000001</v>
      </c>
      <c r="G468" s="18">
        <v>283525</v>
      </c>
      <c r="H468" s="18">
        <v>380351.57</v>
      </c>
      <c r="I468" s="18"/>
      <c r="J468" s="18">
        <v>1673.12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22150260.870000001</v>
      </c>
      <c r="G470" s="53">
        <f>SUM(G468:G469)</f>
        <v>283525</v>
      </c>
      <c r="H470" s="53">
        <f>SUM(H468:H469)</f>
        <v>380351.57</v>
      </c>
      <c r="I470" s="53">
        <f>SUM(I468:I469)</f>
        <v>0</v>
      </c>
      <c r="J470" s="53">
        <f>SUM(J468:J469)</f>
        <v>1673.12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21614982.309999999</v>
      </c>
      <c r="G472" s="18">
        <v>283525</v>
      </c>
      <c r="H472" s="18">
        <v>380351.57</v>
      </c>
      <c r="I472" s="18"/>
      <c r="J472" s="18">
        <v>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21614982.309999999</v>
      </c>
      <c r="G474" s="53">
        <f>SUM(G472:G473)</f>
        <v>283525</v>
      </c>
      <c r="H474" s="53">
        <f>SUM(H472:H473)</f>
        <v>380351.57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1973210.0500000007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238022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1064008.45</v>
      </c>
      <c r="G521" s="18">
        <v>494828.77</v>
      </c>
      <c r="H521" s="18">
        <v>66267.31</v>
      </c>
      <c r="I521" s="18">
        <v>6973.61</v>
      </c>
      <c r="J521" s="18">
        <v>4401.91</v>
      </c>
      <c r="K521" s="18">
        <v>800.92</v>
      </c>
      <c r="L521" s="88">
        <f>SUM(F521:K521)</f>
        <v>1637280.97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1001498.01</v>
      </c>
      <c r="G522" s="18">
        <v>460192.04</v>
      </c>
      <c r="H522" s="18">
        <v>288199.40999999997</v>
      </c>
      <c r="I522" s="18">
        <v>4855</v>
      </c>
      <c r="J522" s="18">
        <v>4673.4399999999996</v>
      </c>
      <c r="K522" s="18">
        <v>850.32</v>
      </c>
      <c r="L522" s="88">
        <f>SUM(F522:K522)</f>
        <v>1760268.22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v>1137262.3</v>
      </c>
      <c r="I523" s="18"/>
      <c r="J523" s="18"/>
      <c r="K523" s="18"/>
      <c r="L523" s="88">
        <f>SUM(F523:K523)</f>
        <v>1137262.3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2065506.46</v>
      </c>
      <c r="G524" s="108">
        <f t="shared" ref="G524:L524" si="36">SUM(G521:G523)</f>
        <v>955020.81</v>
      </c>
      <c r="H524" s="108">
        <f t="shared" si="36"/>
        <v>1491729.02</v>
      </c>
      <c r="I524" s="108">
        <f t="shared" si="36"/>
        <v>11828.61</v>
      </c>
      <c r="J524" s="108">
        <f t="shared" si="36"/>
        <v>9075.3499999999985</v>
      </c>
      <c r="K524" s="108">
        <f t="shared" si="36"/>
        <v>1651.24</v>
      </c>
      <c r="L524" s="89">
        <f t="shared" si="36"/>
        <v>4534811.49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243971.18</v>
      </c>
      <c r="G526" s="18">
        <v>124057.46</v>
      </c>
      <c r="H526" s="18"/>
      <c r="I526" s="18">
        <v>524.16</v>
      </c>
      <c r="J526" s="18">
        <v>840.43</v>
      </c>
      <c r="K526" s="18"/>
      <c r="L526" s="88">
        <f>SUM(F526:K526)</f>
        <v>369393.23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108592.52</v>
      </c>
      <c r="G527" s="18">
        <v>55218.45</v>
      </c>
      <c r="H527" s="18"/>
      <c r="I527" s="18">
        <v>556.49</v>
      </c>
      <c r="J527" s="18">
        <v>892.27</v>
      </c>
      <c r="K527" s="18"/>
      <c r="L527" s="88">
        <f>SUM(F527:K527)</f>
        <v>165259.72999999998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9411.35</v>
      </c>
      <c r="G528" s="18">
        <v>4785.6000000000004</v>
      </c>
      <c r="H528" s="18"/>
      <c r="I528" s="18"/>
      <c r="J528" s="18"/>
      <c r="K528" s="18"/>
      <c r="L528" s="88">
        <f>SUM(F528:K528)</f>
        <v>14196.95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361975.05</v>
      </c>
      <c r="G529" s="89">
        <f t="shared" ref="G529:L529" si="37">SUM(G526:G528)</f>
        <v>184061.51</v>
      </c>
      <c r="H529" s="89">
        <f t="shared" si="37"/>
        <v>0</v>
      </c>
      <c r="I529" s="89">
        <f t="shared" si="37"/>
        <v>1080.6500000000001</v>
      </c>
      <c r="J529" s="89">
        <f t="shared" si="37"/>
        <v>1732.6999999999998</v>
      </c>
      <c r="K529" s="89">
        <f t="shared" si="37"/>
        <v>0</v>
      </c>
      <c r="L529" s="89">
        <f t="shared" si="37"/>
        <v>548849.90999999992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86124.03</v>
      </c>
      <c r="G531" s="18">
        <v>43793.4</v>
      </c>
      <c r="H531" s="18"/>
      <c r="I531" s="18">
        <v>418.47</v>
      </c>
      <c r="J531" s="18"/>
      <c r="K531" s="18"/>
      <c r="L531" s="88">
        <f>SUM(F531:K531)</f>
        <v>130335.9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91451.29</v>
      </c>
      <c r="G532" s="18">
        <v>46502.28</v>
      </c>
      <c r="H532" s="18"/>
      <c r="I532" s="18">
        <v>245.98</v>
      </c>
      <c r="J532" s="18"/>
      <c r="K532" s="18"/>
      <c r="L532" s="88">
        <f>SUM(F532:K532)</f>
        <v>138199.55000000002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79962.350000000006</v>
      </c>
      <c r="G533" s="18">
        <v>40660.239999999998</v>
      </c>
      <c r="H533" s="18"/>
      <c r="I533" s="18"/>
      <c r="J533" s="18"/>
      <c r="K533" s="18"/>
      <c r="L533" s="88">
        <f>SUM(F533:K533)</f>
        <v>120622.59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257537.67</v>
      </c>
      <c r="G534" s="89">
        <f t="shared" ref="G534:L534" si="38">SUM(G531:G533)</f>
        <v>130955.91999999998</v>
      </c>
      <c r="H534" s="89">
        <f t="shared" si="38"/>
        <v>0</v>
      </c>
      <c r="I534" s="89">
        <f t="shared" si="38"/>
        <v>664.45</v>
      </c>
      <c r="J534" s="89">
        <f t="shared" si="38"/>
        <v>0</v>
      </c>
      <c r="K534" s="89">
        <f t="shared" si="38"/>
        <v>0</v>
      </c>
      <c r="L534" s="89">
        <f t="shared" si="38"/>
        <v>389158.04000000004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10756.05</v>
      </c>
      <c r="I536" s="18"/>
      <c r="J536" s="18"/>
      <c r="K536" s="18"/>
      <c r="L536" s="88">
        <f>SUM(F536:K536)</f>
        <v>10756.05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>
        <v>10756.06</v>
      </c>
      <c r="I537" s="18"/>
      <c r="J537" s="18"/>
      <c r="K537" s="18"/>
      <c r="L537" s="88">
        <f>SUM(F537:K537)</f>
        <v>10756.06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21512.11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21512.11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88255.14</v>
      </c>
      <c r="I541" s="18"/>
      <c r="J541" s="18"/>
      <c r="K541" s="18"/>
      <c r="L541" s="88">
        <f>SUM(F541:K541)</f>
        <v>88255.14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105906.17</v>
      </c>
      <c r="I542" s="18"/>
      <c r="J542" s="18"/>
      <c r="K542" s="18"/>
      <c r="L542" s="88">
        <f>SUM(F542:K542)</f>
        <v>105906.17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26476.54</v>
      </c>
      <c r="I543" s="18"/>
      <c r="J543" s="18"/>
      <c r="K543" s="18"/>
      <c r="L543" s="88">
        <f>SUM(F543:K543)</f>
        <v>26476.54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220637.85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220637.85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2685019.1799999997</v>
      </c>
      <c r="G545" s="89">
        <f t="shared" ref="G545:L545" si="41">G524+G529+G534+G539+G544</f>
        <v>1270038.24</v>
      </c>
      <c r="H545" s="89">
        <f t="shared" si="41"/>
        <v>1733878.9800000002</v>
      </c>
      <c r="I545" s="89">
        <f t="shared" si="41"/>
        <v>13573.710000000001</v>
      </c>
      <c r="J545" s="89">
        <f t="shared" si="41"/>
        <v>10808.05</v>
      </c>
      <c r="K545" s="89">
        <f t="shared" si="41"/>
        <v>1651.24</v>
      </c>
      <c r="L545" s="89">
        <f t="shared" si="41"/>
        <v>5714969.4000000004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1637280.97</v>
      </c>
      <c r="G549" s="87">
        <f>L526</f>
        <v>369393.23</v>
      </c>
      <c r="H549" s="87">
        <f>L531</f>
        <v>130335.9</v>
      </c>
      <c r="I549" s="87">
        <f>L536</f>
        <v>10756.05</v>
      </c>
      <c r="J549" s="87">
        <f>L541</f>
        <v>88255.14</v>
      </c>
      <c r="K549" s="87">
        <f>SUM(F549:J549)</f>
        <v>2236021.29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1760268.22</v>
      </c>
      <c r="G550" s="87">
        <f>L527</f>
        <v>165259.72999999998</v>
      </c>
      <c r="H550" s="87">
        <f>L532</f>
        <v>138199.55000000002</v>
      </c>
      <c r="I550" s="87">
        <f>L537</f>
        <v>10756.06</v>
      </c>
      <c r="J550" s="87">
        <f>L542</f>
        <v>105906.17</v>
      </c>
      <c r="K550" s="87">
        <f>SUM(F550:J550)</f>
        <v>2180389.73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1137262.3</v>
      </c>
      <c r="G551" s="87">
        <f>L528</f>
        <v>14196.95</v>
      </c>
      <c r="H551" s="87">
        <f>L533</f>
        <v>120622.59</v>
      </c>
      <c r="I551" s="87">
        <f>L538</f>
        <v>0</v>
      </c>
      <c r="J551" s="87">
        <f>L543</f>
        <v>26476.54</v>
      </c>
      <c r="K551" s="87">
        <f>SUM(F551:J551)</f>
        <v>1298558.3800000001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4534811.49</v>
      </c>
      <c r="G552" s="89">
        <f t="shared" si="42"/>
        <v>548849.90999999992</v>
      </c>
      <c r="H552" s="89">
        <f t="shared" si="42"/>
        <v>389158.04000000004</v>
      </c>
      <c r="I552" s="89">
        <f t="shared" si="42"/>
        <v>21512.11</v>
      </c>
      <c r="J552" s="89">
        <f t="shared" si="42"/>
        <v>220637.85</v>
      </c>
      <c r="K552" s="89">
        <f t="shared" si="42"/>
        <v>5714969.3999999994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f>6038.4+93654.56</f>
        <v>99692.959999999992</v>
      </c>
      <c r="I575" s="87">
        <f>SUM(F575:H575)</f>
        <v>99692.959999999992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>
        <f>4364718.01+783848.73</f>
        <v>5148566.74</v>
      </c>
      <c r="I577" s="87">
        <f t="shared" si="47"/>
        <v>5148566.74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>
        <v>217844.27</v>
      </c>
      <c r="H578" s="18">
        <v>235997.95</v>
      </c>
      <c r="I578" s="87">
        <f t="shared" si="47"/>
        <v>453842.22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>
        <v>23761.06</v>
      </c>
      <c r="I583" s="87">
        <f t="shared" si="47"/>
        <v>23761.06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173890.51</v>
      </c>
      <c r="I591" s="18">
        <v>184617.24</v>
      </c>
      <c r="J591" s="18">
        <v>167339.1</v>
      </c>
      <c r="K591" s="104">
        <f t="shared" ref="K591:K597" si="48">SUM(H591:J591)</f>
        <v>525846.85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88255.14</v>
      </c>
      <c r="I592" s="18">
        <v>105906.17</v>
      </c>
      <c r="J592" s="18">
        <v>26476.54</v>
      </c>
      <c r="K592" s="104">
        <f t="shared" si="48"/>
        <v>220637.85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8408.18</v>
      </c>
      <c r="J594" s="18"/>
      <c r="K594" s="104">
        <f t="shared" si="48"/>
        <v>8408.18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>
        <v>1073.3599999999999</v>
      </c>
      <c r="J595" s="18"/>
      <c r="K595" s="104">
        <f t="shared" si="48"/>
        <v>1073.3599999999999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262145.65000000002</v>
      </c>
      <c r="I598" s="108">
        <f>SUM(I591:I597)</f>
        <v>300004.94999999995</v>
      </c>
      <c r="J598" s="108">
        <f>SUM(J591:J597)</f>
        <v>193815.64</v>
      </c>
      <c r="K598" s="108">
        <f>SUM(K591:K597)</f>
        <v>755966.24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55371.46</v>
      </c>
      <c r="I604" s="18">
        <v>55902.3</v>
      </c>
      <c r="J604" s="18"/>
      <c r="K604" s="104">
        <f>SUM(H604:J604)</f>
        <v>111273.76000000001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55371.46</v>
      </c>
      <c r="I605" s="108">
        <f>SUM(I602:I604)</f>
        <v>55902.3</v>
      </c>
      <c r="J605" s="108">
        <f>SUM(J602:J604)</f>
        <v>0</v>
      </c>
      <c r="K605" s="108">
        <f>SUM(K602:K604)</f>
        <v>111273.76000000001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2128505.9299999997</v>
      </c>
      <c r="H617" s="109">
        <f>SUM(F52)</f>
        <v>2128505.9300000002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79275.77</v>
      </c>
      <c r="H618" s="109">
        <f>SUM(G52)</f>
        <v>79275.77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166934.41</v>
      </c>
      <c r="H619" s="109">
        <f>SUM(H52)</f>
        <v>166934.41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238022</v>
      </c>
      <c r="H621" s="109">
        <f>SUM(J52)</f>
        <v>238022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1973210.05</v>
      </c>
      <c r="H622" s="109">
        <f>F476</f>
        <v>1973210.0500000007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238022</v>
      </c>
      <c r="H626" s="109">
        <f>J476</f>
        <v>238022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22150260.870000001</v>
      </c>
      <c r="H627" s="104">
        <f>SUM(F468)</f>
        <v>22150260.870000001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283525</v>
      </c>
      <c r="H628" s="104">
        <f>SUM(G468)</f>
        <v>283525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380351.57</v>
      </c>
      <c r="H629" s="104">
        <f>SUM(H468)</f>
        <v>380351.57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1673.12</v>
      </c>
      <c r="H631" s="104">
        <f>SUM(J468)</f>
        <v>1673.12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21614982.310000002</v>
      </c>
      <c r="H632" s="104">
        <f>SUM(F472)</f>
        <v>21614982.309999999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380351.56999999995</v>
      </c>
      <c r="H633" s="104">
        <f>SUM(H472)</f>
        <v>380351.57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133714.72</v>
      </c>
      <c r="H634" s="104">
        <f>I369</f>
        <v>133714.72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283525</v>
      </c>
      <c r="H635" s="104">
        <f>SUM(G472)</f>
        <v>283525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1673.12</v>
      </c>
      <c r="H637" s="164">
        <f>SUM(J468)</f>
        <v>1673.12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238022</v>
      </c>
      <c r="H639" s="104">
        <f>SUM(F461)</f>
        <v>238022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238022</v>
      </c>
      <c r="H642" s="104">
        <f>SUM(I461)</f>
        <v>238022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1673.12</v>
      </c>
      <c r="H644" s="104">
        <f>H408</f>
        <v>1673.12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1673.12</v>
      </c>
      <c r="H646" s="104">
        <f>L408</f>
        <v>1673.12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755966.24</v>
      </c>
      <c r="H647" s="104">
        <f>L208+L226+L244</f>
        <v>755966.24000000011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111273.76000000001</v>
      </c>
      <c r="H648" s="104">
        <f>(J257+J338)-(J255+J336)</f>
        <v>111273.76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262145.65000000002</v>
      </c>
      <c r="H649" s="104">
        <f>H598</f>
        <v>262145.65000000002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300004.95</v>
      </c>
      <c r="H650" s="104">
        <f>I598</f>
        <v>300004.94999999995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193815.64</v>
      </c>
      <c r="H651" s="104">
        <f>J598</f>
        <v>193815.64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10776.2</v>
      </c>
      <c r="H652" s="104">
        <f>K263+K345</f>
        <v>10776.2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8098656.1500000013</v>
      </c>
      <c r="G660" s="19">
        <f>(L229+L309+L359)</f>
        <v>8135554.9800000004</v>
      </c>
      <c r="H660" s="19">
        <f>(L247+L328+L360)</f>
        <v>5919113.04</v>
      </c>
      <c r="I660" s="19">
        <f>SUM(F660:H660)</f>
        <v>22153324.170000002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105427.74546783212</v>
      </c>
      <c r="G661" s="19">
        <f>(L359/IF(SUM(L358:L360)=0,1,SUM(L358:L360))*(SUM(G97:G110)))</f>
        <v>92608.124532167873</v>
      </c>
      <c r="H661" s="19">
        <f>(L360/IF(SUM(L358:L360)=0,1,SUM(L358:L360))*(SUM(G97:G110)))</f>
        <v>0</v>
      </c>
      <c r="I661" s="19">
        <f>SUM(F661:H661)</f>
        <v>198035.87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262145.65000000002</v>
      </c>
      <c r="G662" s="19">
        <f>(L226+L306)-(J226+J306)</f>
        <v>300004.95</v>
      </c>
      <c r="H662" s="19">
        <f>(L244+L325)-(J244+J325)</f>
        <v>193815.64</v>
      </c>
      <c r="I662" s="19">
        <f>SUM(F662:H662)</f>
        <v>755966.24000000011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55371.46</v>
      </c>
      <c r="G663" s="199">
        <f>SUM(G575:G587)+SUM(I602:I604)+L612</f>
        <v>273746.57</v>
      </c>
      <c r="H663" s="199">
        <f>SUM(H575:H587)+SUM(J602:J604)+L613</f>
        <v>5508018.71</v>
      </c>
      <c r="I663" s="19">
        <f>SUM(F663:H663)</f>
        <v>5837136.7400000002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7675711.2945321687</v>
      </c>
      <c r="G664" s="19">
        <f>G660-SUM(G661:G663)</f>
        <v>7469195.3354678322</v>
      </c>
      <c r="H664" s="19">
        <f>H660-SUM(H661:H663)</f>
        <v>217278.69000000041</v>
      </c>
      <c r="I664" s="19">
        <f>I660-SUM(I661:I663)</f>
        <v>15362185.32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428.13</v>
      </c>
      <c r="G665" s="248">
        <v>454.54</v>
      </c>
      <c r="H665" s="248"/>
      <c r="I665" s="19">
        <f>SUM(F665:H665)</f>
        <v>882.67000000000007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17928.46</v>
      </c>
      <c r="G667" s="19">
        <f>ROUND(G664/G665,2)</f>
        <v>16432.43</v>
      </c>
      <c r="H667" s="19" t="e">
        <f>ROUND(H664/H665,2)</f>
        <v>#DIV/0!</v>
      </c>
      <c r="I667" s="19">
        <f>ROUND(I664/I665,2)</f>
        <v>17404.22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-217278.69</v>
      </c>
      <c r="I669" s="19">
        <f>SUM(F669:H669)</f>
        <v>-217278.69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17928.46</v>
      </c>
      <c r="G672" s="19">
        <f>ROUND((G664+G669)/(G665+G670),2)</f>
        <v>16432.43</v>
      </c>
      <c r="H672" s="19" t="e">
        <f>ROUND((H664+H669)/(H665+H670),2)</f>
        <v>#DIV/0!</v>
      </c>
      <c r="I672" s="19">
        <f>ROUND((I664+I669)/(I665+I670),2)</f>
        <v>17158.060000000001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39" sqref="B39:C39"/>
    </sheetView>
  </sheetViews>
  <sheetFormatPr defaultRowHeight="11.25" x14ac:dyDescent="0.2"/>
  <cols>
    <col min="1" max="1" width="26.6640625" customWidth="1"/>
    <col min="2" max="2" width="33.66406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Hampstead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4721682.17</v>
      </c>
      <c r="C9" s="229">
        <f>'DOE25'!G197+'DOE25'!G215+'DOE25'!G233+'DOE25'!G276+'DOE25'!G295+'DOE25'!G314</f>
        <v>2370664.7400000002</v>
      </c>
    </row>
    <row r="10" spans="1:3" x14ac:dyDescent="0.2">
      <c r="A10" t="s">
        <v>779</v>
      </c>
      <c r="B10" s="240">
        <v>4318459.55</v>
      </c>
      <c r="C10" s="240">
        <v>2168214.5099999998</v>
      </c>
    </row>
    <row r="11" spans="1:3" x14ac:dyDescent="0.2">
      <c r="A11" t="s">
        <v>780</v>
      </c>
      <c r="B11" s="240">
        <v>201938.98</v>
      </c>
      <c r="C11" s="240">
        <v>101389.63</v>
      </c>
    </row>
    <row r="12" spans="1:3" x14ac:dyDescent="0.2">
      <c r="A12" t="s">
        <v>781</v>
      </c>
      <c r="B12" s="240">
        <v>201283.64</v>
      </c>
      <c r="C12" s="240">
        <v>101060.6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4721682.17</v>
      </c>
      <c r="C13" s="231">
        <f>SUM(C10:C12)</f>
        <v>2370664.7399999998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2323044.1199999996</v>
      </c>
      <c r="C18" s="229">
        <f>'DOE25'!G198+'DOE25'!G216+'DOE25'!G234+'DOE25'!G277+'DOE25'!G296+'DOE25'!G315</f>
        <v>1085976.73</v>
      </c>
    </row>
    <row r="19" spans="1:3" x14ac:dyDescent="0.2">
      <c r="A19" t="s">
        <v>779</v>
      </c>
      <c r="B19" s="240">
        <v>1197365.8899999999</v>
      </c>
      <c r="C19" s="240">
        <v>559744.64</v>
      </c>
    </row>
    <row r="20" spans="1:3" x14ac:dyDescent="0.2">
      <c r="A20" t="s">
        <v>780</v>
      </c>
      <c r="B20" s="240">
        <v>868140.55999999994</v>
      </c>
      <c r="C20" s="240">
        <v>405838.37</v>
      </c>
    </row>
    <row r="21" spans="1:3" x14ac:dyDescent="0.2">
      <c r="A21" t="s">
        <v>781</v>
      </c>
      <c r="B21" s="240">
        <v>257537.66999999998</v>
      </c>
      <c r="C21" s="240">
        <v>120393.72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2323044.1199999996</v>
      </c>
      <c r="C22" s="231">
        <f>SUM(C19:C21)</f>
        <v>1085976.73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45313.440000000002</v>
      </c>
      <c r="C27" s="234">
        <f>'DOE25'!G199+'DOE25'!G217+'DOE25'!G235+'DOE25'!G278+'DOE25'!G297+'DOE25'!G316</f>
        <v>23041.53</v>
      </c>
    </row>
    <row r="28" spans="1:3" x14ac:dyDescent="0.2">
      <c r="A28" t="s">
        <v>779</v>
      </c>
      <c r="B28" s="240">
        <v>45313.440000000002</v>
      </c>
      <c r="C28" s="240">
        <v>23041.53</v>
      </c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45313.440000000002</v>
      </c>
      <c r="C31" s="231">
        <f>SUM(C28:C30)</f>
        <v>23041.53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5990</v>
      </c>
      <c r="C36" s="235">
        <f>'DOE25'!G200+'DOE25'!G218+'DOE25'!G236+'DOE25'!G279+'DOE25'!G298+'DOE25'!G317</f>
        <v>3045.87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5990</v>
      </c>
      <c r="C39" s="240">
        <v>3045.87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5990</v>
      </c>
      <c r="C40" s="231">
        <f>SUM(C37:C39)</f>
        <v>3045.87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tabSelected="1" workbookViewId="0">
      <pane ySplit="4" topLeftCell="A5" activePane="bottomLeft" state="frozen"/>
      <selection activeCell="F46" sqref="F46"/>
      <selection pane="bottomLeft" activeCell="D11" sqref="D11"/>
    </sheetView>
  </sheetViews>
  <sheetFormatPr defaultRowHeight="11.25" x14ac:dyDescent="0.2"/>
  <cols>
    <col min="1" max="1" width="10.6640625" customWidth="1"/>
    <col min="2" max="2" width="41.1640625" customWidth="1"/>
    <col min="3" max="3" width="13.5" bestFit="1" customWidth="1"/>
    <col min="4" max="5" width="17.6640625" customWidth="1"/>
    <col min="6" max="6" width="22.5" bestFit="1" customWidth="1"/>
    <col min="7" max="8" width="17.66406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Hampstead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16559915.540000003</v>
      </c>
      <c r="D5" s="20">
        <f>SUM('DOE25'!L197:L200)+SUM('DOE25'!L215:L218)+SUM('DOE25'!L233:L236)-F5-G5</f>
        <v>16452842.620000003</v>
      </c>
      <c r="E5" s="243"/>
      <c r="F5" s="255">
        <f>SUM('DOE25'!J197:J200)+SUM('DOE25'!J215:J218)+SUM('DOE25'!J233:J236)</f>
        <v>92213.67</v>
      </c>
      <c r="G5" s="53">
        <f>SUM('DOE25'!K197:K200)+SUM('DOE25'!K215:K218)+SUM('DOE25'!K233:K236)</f>
        <v>14859.25</v>
      </c>
      <c r="H5" s="259"/>
    </row>
    <row r="6" spans="1:9" x14ac:dyDescent="0.2">
      <c r="A6" s="32">
        <v>2100</v>
      </c>
      <c r="B6" t="s">
        <v>801</v>
      </c>
      <c r="C6" s="245">
        <f t="shared" si="0"/>
        <v>1084970.1299999999</v>
      </c>
      <c r="D6" s="20">
        <f>'DOE25'!L202+'DOE25'!L220+'DOE25'!L238-F6-G6</f>
        <v>1079019.8299999998</v>
      </c>
      <c r="E6" s="243"/>
      <c r="F6" s="255">
        <f>'DOE25'!J202+'DOE25'!J220+'DOE25'!J238</f>
        <v>2634.7</v>
      </c>
      <c r="G6" s="53">
        <f>'DOE25'!K202+'DOE25'!K220+'DOE25'!K238</f>
        <v>3315.6000000000004</v>
      </c>
      <c r="H6" s="259"/>
    </row>
    <row r="7" spans="1:9" x14ac:dyDescent="0.2">
      <c r="A7" s="32">
        <v>2200</v>
      </c>
      <c r="B7" t="s">
        <v>834</v>
      </c>
      <c r="C7" s="245">
        <f t="shared" si="0"/>
        <v>325247.65000000002</v>
      </c>
      <c r="D7" s="20">
        <f>'DOE25'!L203+'DOE25'!L221+'DOE25'!L239-F7-G7</f>
        <v>321135.62</v>
      </c>
      <c r="E7" s="243"/>
      <c r="F7" s="255">
        <f>'DOE25'!J203+'DOE25'!J221+'DOE25'!J239</f>
        <v>4112.03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311107.59999999998</v>
      </c>
      <c r="D8" s="243"/>
      <c r="E8" s="20">
        <f>'DOE25'!L204+'DOE25'!L222+'DOE25'!L240-F8-G8-D9-D11</f>
        <v>292830.03999999998</v>
      </c>
      <c r="F8" s="255">
        <f>'DOE25'!J204+'DOE25'!J222+'DOE25'!J240</f>
        <v>0</v>
      </c>
      <c r="G8" s="53">
        <f>'DOE25'!K204+'DOE25'!K222+'DOE25'!K240</f>
        <v>18277.559999999998</v>
      </c>
      <c r="H8" s="259"/>
    </row>
    <row r="9" spans="1:9" x14ac:dyDescent="0.2">
      <c r="A9" s="32">
        <v>2310</v>
      </c>
      <c r="B9" t="s">
        <v>818</v>
      </c>
      <c r="C9" s="245">
        <f t="shared" si="0"/>
        <v>4000</v>
      </c>
      <c r="D9" s="244">
        <v>4000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23171.5</v>
      </c>
      <c r="D10" s="243"/>
      <c r="E10" s="244">
        <v>23171.5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105878.24</v>
      </c>
      <c r="D11" s="244">
        <v>105878.24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909869.66999999993</v>
      </c>
      <c r="D12" s="20">
        <f>'DOE25'!L205+'DOE25'!L223+'DOE25'!L241-F12-G12</f>
        <v>903413.32</v>
      </c>
      <c r="E12" s="243"/>
      <c r="F12" s="255">
        <f>'DOE25'!J205+'DOE25'!J223+'DOE25'!J241</f>
        <v>785.3900000000001</v>
      </c>
      <c r="G12" s="53">
        <f>'DOE25'!K205+'DOE25'!K223+'DOE25'!K241</f>
        <v>5670.96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1426074.5300000003</v>
      </c>
      <c r="D14" s="20">
        <f>'DOE25'!L207+'DOE25'!L225+'DOE25'!L243-F14-G14</f>
        <v>1420834.9800000002</v>
      </c>
      <c r="E14" s="243"/>
      <c r="F14" s="255">
        <f>'DOE25'!J207+'DOE25'!J225+'DOE25'!J243</f>
        <v>2136</v>
      </c>
      <c r="G14" s="53">
        <f>'DOE25'!K207+'DOE25'!K225+'DOE25'!K243</f>
        <v>3103.55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755966.24000000011</v>
      </c>
      <c r="D15" s="20">
        <f>'DOE25'!L208+'DOE25'!L226+'DOE25'!L244-F15-G15</f>
        <v>755966.24000000011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6418</v>
      </c>
      <c r="D16" s="243"/>
      <c r="E16" s="20">
        <f>'DOE25'!L209+'DOE25'!L227+'DOE25'!L245-F16-G16</f>
        <v>6418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14614.710000000001</v>
      </c>
      <c r="D19" s="20">
        <f>'DOE25'!L253-F19-G19</f>
        <v>14614.710000000001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100143.8</v>
      </c>
      <c r="D22" s="243"/>
      <c r="E22" s="243"/>
      <c r="F22" s="255">
        <f>'DOE25'!L255+'DOE25'!L336</f>
        <v>100143.8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190677.26</v>
      </c>
      <c r="D29" s="20">
        <f>'DOE25'!L358+'DOE25'!L359+'DOE25'!L360-'DOE25'!I367-F29-G29</f>
        <v>190677.26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380351.56999999995</v>
      </c>
      <c r="D31" s="20">
        <f>'DOE25'!L290+'DOE25'!L309+'DOE25'!L328+'DOE25'!L333+'DOE25'!L334+'DOE25'!L335-F31-G31</f>
        <v>370493.39999999997</v>
      </c>
      <c r="E31" s="243"/>
      <c r="F31" s="255">
        <f>'DOE25'!J290+'DOE25'!J309+'DOE25'!J328+'DOE25'!J333+'DOE25'!J334+'DOE25'!J335</f>
        <v>9391.9699999999993</v>
      </c>
      <c r="G31" s="53">
        <f>'DOE25'!K290+'DOE25'!K309+'DOE25'!K328+'DOE25'!K333+'DOE25'!K334+'DOE25'!K335</f>
        <v>466.2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21618876.220000003</v>
      </c>
      <c r="E33" s="246">
        <f>SUM(E5:E31)</f>
        <v>322419.53999999998</v>
      </c>
      <c r="F33" s="246">
        <f>SUM(F5:F31)</f>
        <v>211417.56</v>
      </c>
      <c r="G33" s="246">
        <f>SUM(G5:G31)</f>
        <v>45693.119999999995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322419.53999999998</v>
      </c>
      <c r="E35" s="249"/>
    </row>
    <row r="36" spans="2:8" ht="12" thickTop="1" x14ac:dyDescent="0.2">
      <c r="B36" t="s">
        <v>815</v>
      </c>
      <c r="D36" s="20">
        <f>D33</f>
        <v>21618876.220000003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9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6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Hampstead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1877090.19</v>
      </c>
      <c r="D8" s="95">
        <f>'DOE25'!G9</f>
        <v>66424.95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238022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220654.06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26686.09</v>
      </c>
      <c r="D12" s="95">
        <f>'DOE25'!G13</f>
        <v>4435.13</v>
      </c>
      <c r="E12" s="95">
        <f>'DOE25'!H13</f>
        <v>166934.41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4075.59</v>
      </c>
      <c r="D13" s="95">
        <f>'DOE25'!G14</f>
        <v>0.36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8415.33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2128505.9299999997</v>
      </c>
      <c r="D18" s="41">
        <f>SUM(D8:D17)</f>
        <v>79275.77</v>
      </c>
      <c r="E18" s="41">
        <f>SUM(E8:E17)</f>
        <v>166934.41</v>
      </c>
      <c r="F18" s="41">
        <f>SUM(F8:F17)</f>
        <v>0</v>
      </c>
      <c r="G18" s="41">
        <f>SUM(G8:G17)</f>
        <v>238022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55719.65</v>
      </c>
      <c r="E21" s="95">
        <f>'DOE25'!H22</f>
        <v>164934.41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6500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91472.37</v>
      </c>
      <c r="D23" s="95">
        <f>'DOE25'!G24</f>
        <v>14587.28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54983.51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2340</v>
      </c>
      <c r="D29" s="95">
        <f>'DOE25'!G30</f>
        <v>8968.84</v>
      </c>
      <c r="E29" s="95">
        <f>'DOE25'!H30</f>
        <v>2000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155295.88</v>
      </c>
      <c r="D31" s="41">
        <f>SUM(D21:D30)</f>
        <v>79275.77</v>
      </c>
      <c r="E31" s="41">
        <f>SUM(E21:E30)</f>
        <v>166934.41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250000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6889.71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200000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238022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1516320.34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1973210.05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238022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2128505.9300000002</v>
      </c>
      <c r="D51" s="41">
        <f>D50+D31</f>
        <v>79275.77</v>
      </c>
      <c r="E51" s="41">
        <f>E50+E31</f>
        <v>166934.41</v>
      </c>
      <c r="F51" s="41">
        <f>F50+F31</f>
        <v>0</v>
      </c>
      <c r="G51" s="41">
        <f>G50+G31</f>
        <v>238022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16082468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158214.6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46.41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1673.12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198035.87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237439.38999999998</v>
      </c>
      <c r="D61" s="95">
        <f>SUM('DOE25'!G98:G110)</f>
        <v>0</v>
      </c>
      <c r="E61" s="95">
        <f>SUM('DOE25'!H98:H110)</f>
        <v>4940.45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395700.4</v>
      </c>
      <c r="D62" s="130">
        <f>SUM(D57:D61)</f>
        <v>198035.87</v>
      </c>
      <c r="E62" s="130">
        <f>SUM(E57:E61)</f>
        <v>4940.45</v>
      </c>
      <c r="F62" s="130">
        <f>SUM(F57:F61)</f>
        <v>0</v>
      </c>
      <c r="G62" s="130">
        <f>SUM(G57:G61)</f>
        <v>1673.12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16478168.4</v>
      </c>
      <c r="D63" s="22">
        <f>D56+D62</f>
        <v>198035.87</v>
      </c>
      <c r="E63" s="22">
        <f>E56+E62</f>
        <v>4940.45</v>
      </c>
      <c r="F63" s="22">
        <f>F56+F62</f>
        <v>0</v>
      </c>
      <c r="G63" s="22">
        <f>G56+G62</f>
        <v>1673.12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2859848.76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2305518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2691.23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5168057.99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347866.12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3325.49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347866.12</v>
      </c>
      <c r="D78" s="130">
        <f>SUM(D72:D77)</f>
        <v>3325.49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5515924.1100000003</v>
      </c>
      <c r="D81" s="130">
        <f>SUM(D79:D80)+D78+D70</f>
        <v>3325.49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156168.35999999999</v>
      </c>
      <c r="D88" s="95">
        <f>SUM('DOE25'!G153:G161)</f>
        <v>71387.44</v>
      </c>
      <c r="E88" s="95">
        <f>SUM('DOE25'!H153:H161)</f>
        <v>375411.12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156168.35999999999</v>
      </c>
      <c r="D91" s="131">
        <f>SUM(D85:D90)</f>
        <v>71387.44</v>
      </c>
      <c r="E91" s="131">
        <f>SUM(E85:E90)</f>
        <v>375411.12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10776.2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10776.2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22150260.870000001</v>
      </c>
      <c r="D104" s="86">
        <f>D63+D81+D91+D103</f>
        <v>283525</v>
      </c>
      <c r="E104" s="86">
        <f>E63+E81+E91+E103</f>
        <v>380351.57</v>
      </c>
      <c r="F104" s="86">
        <f>F63+F81+F91+F103</f>
        <v>0</v>
      </c>
      <c r="G104" s="86">
        <f>G63+G81+G103</f>
        <v>1673.12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11789140.92</v>
      </c>
      <c r="D109" s="24" t="s">
        <v>289</v>
      </c>
      <c r="E109" s="95">
        <f>('DOE25'!L276)+('DOE25'!L295)+('DOE25'!L314)</f>
        <v>63041.380000000005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4673371.92</v>
      </c>
      <c r="D110" s="24" t="s">
        <v>289</v>
      </c>
      <c r="E110" s="95">
        <f>('DOE25'!L277)+('DOE25'!L296)+('DOE25'!L315)</f>
        <v>250597.59999999998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85984.11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11418.59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14614.710000000001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16574530.25</v>
      </c>
      <c r="D115" s="86">
        <f>SUM(D109:D114)</f>
        <v>0</v>
      </c>
      <c r="E115" s="86">
        <f>SUM(E109:E114)</f>
        <v>313638.98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1084970.1299999999</v>
      </c>
      <c r="D118" s="24" t="s">
        <v>289</v>
      </c>
      <c r="E118" s="95">
        <f>+('DOE25'!L281)+('DOE25'!L300)+('DOE25'!L319)</f>
        <v>22711.91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325247.65000000002</v>
      </c>
      <c r="D119" s="24" t="s">
        <v>289</v>
      </c>
      <c r="E119" s="95">
        <f>+('DOE25'!L282)+('DOE25'!L301)+('DOE25'!L320)</f>
        <v>44000.679999999993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420985.83999999997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909869.66999999993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1426074.5300000003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755966.24000000011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6418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283525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4929532.0599999996</v>
      </c>
      <c r="D128" s="86">
        <f>SUM(D118:D127)</f>
        <v>283525</v>
      </c>
      <c r="E128" s="86">
        <f>SUM(E118:E127)</f>
        <v>66712.59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100143.8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10776.2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1673.12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-1673.12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110920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21614982.309999999</v>
      </c>
      <c r="D145" s="86">
        <f>(D115+D128+D144)</f>
        <v>283525</v>
      </c>
      <c r="E145" s="86">
        <f>(E115+E128+E144)</f>
        <v>380351.56999999995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Hampstead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17928</v>
      </c>
    </row>
    <row r="5" spans="1:4" x14ac:dyDescent="0.2">
      <c r="B5" t="s">
        <v>704</v>
      </c>
      <c r="C5" s="179">
        <f>IF('DOE25'!G665+'DOE25'!G670=0,0,ROUND('DOE25'!G672,0))</f>
        <v>16432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17158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11852182</v>
      </c>
      <c r="D10" s="182">
        <f>ROUND((C10/$C$28)*100,1)</f>
        <v>53.9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4923970</v>
      </c>
      <c r="D11" s="182">
        <f>ROUND((C11/$C$28)*100,1)</f>
        <v>22.4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85984</v>
      </c>
      <c r="D12" s="182">
        <f>ROUND((C12/$C$28)*100,1)</f>
        <v>0.4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11419</v>
      </c>
      <c r="D13" s="182">
        <f>ROUND((C13/$C$28)*100,1)</f>
        <v>0.1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1107682</v>
      </c>
      <c r="D15" s="182">
        <f t="shared" ref="D15:D27" si="0">ROUND((C15/$C$28)*100,1)</f>
        <v>5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369248</v>
      </c>
      <c r="D16" s="182">
        <f t="shared" si="0"/>
        <v>1.7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427404</v>
      </c>
      <c r="D17" s="182">
        <f t="shared" si="0"/>
        <v>1.9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909870</v>
      </c>
      <c r="D18" s="182">
        <f t="shared" si="0"/>
        <v>4.0999999999999996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1426075</v>
      </c>
      <c r="D20" s="182">
        <f t="shared" si="0"/>
        <v>6.5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755966</v>
      </c>
      <c r="D21" s="182">
        <f t="shared" si="0"/>
        <v>3.4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14615</v>
      </c>
      <c r="D24" s="182">
        <f t="shared" si="0"/>
        <v>0.1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85489.13</v>
      </c>
      <c r="D27" s="182">
        <f t="shared" si="0"/>
        <v>0.4</v>
      </c>
    </row>
    <row r="28" spans="1:4" x14ac:dyDescent="0.2">
      <c r="B28" s="187" t="s">
        <v>723</v>
      </c>
      <c r="C28" s="180">
        <f>SUM(C10:C27)</f>
        <v>21969904.129999999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100144</v>
      </c>
    </row>
    <row r="30" spans="1:4" x14ac:dyDescent="0.2">
      <c r="B30" s="187" t="s">
        <v>729</v>
      </c>
      <c r="C30" s="180">
        <f>SUM(C28:C29)</f>
        <v>22070048.129999999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16082468</v>
      </c>
      <c r="D35" s="182">
        <f t="shared" ref="D35:D40" si="1">ROUND((C35/$C$41)*100,1)</f>
        <v>71.099999999999994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402313.96999999881</v>
      </c>
      <c r="D36" s="182">
        <f t="shared" si="1"/>
        <v>1.8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5165367</v>
      </c>
      <c r="D37" s="182">
        <f t="shared" si="1"/>
        <v>22.8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353883</v>
      </c>
      <c r="D38" s="182">
        <f t="shared" si="1"/>
        <v>1.6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602967</v>
      </c>
      <c r="D39" s="182">
        <f t="shared" si="1"/>
        <v>2.7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22606998.969999999</v>
      </c>
      <c r="D41" s="184">
        <f>SUM(D35:D40)</f>
        <v>99.999999999999986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Hampstead School 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3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2015-12-29T13:26:36Z</cp:lastPrinted>
  <dcterms:created xsi:type="dcterms:W3CDTF">1997-12-04T19:04:30Z</dcterms:created>
  <dcterms:modified xsi:type="dcterms:W3CDTF">2015-12-29T13:27:47Z</dcterms:modified>
</cp:coreProperties>
</file>