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0" windowWidth="25605" windowHeight="15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3" l="1"/>
  <c r="C11" i="13" s="1"/>
  <c r="B37" i="12"/>
  <c r="B38" i="12"/>
  <c r="B40" i="12" s="1"/>
  <c r="C21" i="12"/>
  <c r="B21" i="12"/>
  <c r="B20" i="12"/>
  <c r="B12" i="12"/>
  <c r="B11" i="12"/>
  <c r="B10" i="12"/>
  <c r="F465" i="1"/>
  <c r="F9" i="1"/>
  <c r="C8" i="2" s="1"/>
  <c r="F468" i="1"/>
  <c r="F30" i="1"/>
  <c r="F29" i="1"/>
  <c r="H604" i="1"/>
  <c r="K604" i="1" s="1"/>
  <c r="F582" i="1"/>
  <c r="F579" i="1"/>
  <c r="G562" i="1"/>
  <c r="F562" i="1"/>
  <c r="L562" i="1" s="1"/>
  <c r="H521" i="1"/>
  <c r="H531" i="1"/>
  <c r="H534" i="1" s="1"/>
  <c r="G521" i="1"/>
  <c r="F526" i="1"/>
  <c r="L526" i="1" s="1"/>
  <c r="F521" i="1"/>
  <c r="F531" i="1"/>
  <c r="I521" i="1"/>
  <c r="F102" i="1"/>
  <c r="H253" i="1"/>
  <c r="G253" i="1"/>
  <c r="I250" i="1"/>
  <c r="H161" i="1"/>
  <c r="H155" i="1"/>
  <c r="G276" i="1"/>
  <c r="C9" i="12" s="1"/>
  <c r="I282" i="1"/>
  <c r="G205" i="1"/>
  <c r="G211" i="1" s="1"/>
  <c r="G203" i="1"/>
  <c r="H159" i="1"/>
  <c r="E88" i="2" s="1"/>
  <c r="K282" i="1"/>
  <c r="I277" i="1"/>
  <c r="I276" i="1"/>
  <c r="H277" i="1"/>
  <c r="H282" i="1"/>
  <c r="H287" i="1"/>
  <c r="G277" i="1"/>
  <c r="G284" i="1"/>
  <c r="F277" i="1"/>
  <c r="F284" i="1"/>
  <c r="F282" i="1"/>
  <c r="F276" i="1"/>
  <c r="L276" i="1" s="1"/>
  <c r="H207" i="1"/>
  <c r="K207" i="1"/>
  <c r="J207" i="1"/>
  <c r="I207" i="1"/>
  <c r="L207" i="1" s="1"/>
  <c r="F207" i="1"/>
  <c r="K205" i="1"/>
  <c r="G12" i="13" s="1"/>
  <c r="I205" i="1"/>
  <c r="H205" i="1"/>
  <c r="L205" i="1" s="1"/>
  <c r="F205" i="1"/>
  <c r="K204" i="1"/>
  <c r="I204" i="1"/>
  <c r="H204" i="1"/>
  <c r="F204" i="1"/>
  <c r="J203" i="1"/>
  <c r="F7" i="13" s="1"/>
  <c r="H203" i="1"/>
  <c r="I203" i="1"/>
  <c r="L203" i="1" s="1"/>
  <c r="F203" i="1"/>
  <c r="I202" i="1"/>
  <c r="H202" i="1"/>
  <c r="F202" i="1"/>
  <c r="F200" i="1"/>
  <c r="H200" i="1"/>
  <c r="L200" i="1" s="1"/>
  <c r="C112" i="2" s="1"/>
  <c r="H198" i="1"/>
  <c r="I198" i="1"/>
  <c r="L198" i="1" s="1"/>
  <c r="C110" i="2" s="1"/>
  <c r="F198" i="1"/>
  <c r="I197" i="1"/>
  <c r="J197" i="1"/>
  <c r="H197" i="1"/>
  <c r="F197" i="1"/>
  <c r="F63" i="1"/>
  <c r="F79" i="1" s="1"/>
  <c r="F57" i="1"/>
  <c r="G158" i="1"/>
  <c r="G97" i="1"/>
  <c r="F368" i="1"/>
  <c r="I368" i="1" s="1"/>
  <c r="I369" i="1" s="1"/>
  <c r="I358" i="1"/>
  <c r="H358" i="1"/>
  <c r="H362" i="1" s="1"/>
  <c r="F358" i="1"/>
  <c r="G502" i="1"/>
  <c r="G499" i="1"/>
  <c r="F502" i="1"/>
  <c r="F499" i="1"/>
  <c r="G498" i="1"/>
  <c r="F498" i="1"/>
  <c r="G440" i="1"/>
  <c r="G446" i="1" s="1"/>
  <c r="G640" i="1" s="1"/>
  <c r="C45" i="2"/>
  <c r="G51" i="1"/>
  <c r="G623" i="1" s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I458" i="1"/>
  <c r="J39" i="1"/>
  <c r="G38" i="2" s="1"/>
  <c r="C68" i="2"/>
  <c r="B2" i="13"/>
  <c r="F8" i="13"/>
  <c r="L204" i="1"/>
  <c r="L222" i="1"/>
  <c r="L240" i="1"/>
  <c r="D39" i="13"/>
  <c r="F13" i="13"/>
  <c r="G13" i="13"/>
  <c r="L206" i="1"/>
  <c r="L224" i="1"/>
  <c r="L242" i="1"/>
  <c r="F16" i="13"/>
  <c r="G16" i="13"/>
  <c r="E16" i="13" s="1"/>
  <c r="C16" i="13" s="1"/>
  <c r="L209" i="1"/>
  <c r="L227" i="1"/>
  <c r="C125" i="2" s="1"/>
  <c r="L245" i="1"/>
  <c r="F5" i="13"/>
  <c r="G5" i="13"/>
  <c r="L197" i="1"/>
  <c r="L199" i="1"/>
  <c r="L215" i="1"/>
  <c r="L229" i="1" s="1"/>
  <c r="L216" i="1"/>
  <c r="L217" i="1"/>
  <c r="L218" i="1"/>
  <c r="L233" i="1"/>
  <c r="L234" i="1"/>
  <c r="L235" i="1"/>
  <c r="L236" i="1"/>
  <c r="F6" i="13"/>
  <c r="G6" i="13"/>
  <c r="L202" i="1"/>
  <c r="L220" i="1"/>
  <c r="L238" i="1"/>
  <c r="G7" i="13"/>
  <c r="L221" i="1"/>
  <c r="L239" i="1"/>
  <c r="F12" i="13"/>
  <c r="L223" i="1"/>
  <c r="L241" i="1"/>
  <c r="F14" i="13"/>
  <c r="G14" i="13"/>
  <c r="L225" i="1"/>
  <c r="C20" i="10" s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F29" i="13"/>
  <c r="G29" i="13"/>
  <c r="L358" i="1"/>
  <c r="L359" i="1"/>
  <c r="L360" i="1"/>
  <c r="I367" i="1"/>
  <c r="J290" i="1"/>
  <c r="J309" i="1"/>
  <c r="J328" i="1"/>
  <c r="K290" i="1"/>
  <c r="K309" i="1"/>
  <c r="K328" i="1"/>
  <c r="L278" i="1"/>
  <c r="L279" i="1"/>
  <c r="L281" i="1"/>
  <c r="E118" i="2" s="1"/>
  <c r="L282" i="1"/>
  <c r="L283" i="1"/>
  <c r="E120" i="2" s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E132" i="2" s="1"/>
  <c r="L255" i="1"/>
  <c r="L336" i="1"/>
  <c r="C10" i="13"/>
  <c r="C9" i="13"/>
  <c r="L361" i="1"/>
  <c r="B4" i="12"/>
  <c r="B36" i="12"/>
  <c r="C36" i="12"/>
  <c r="C40" i="12"/>
  <c r="A40" i="12" s="1"/>
  <c r="B27" i="12"/>
  <c r="C27" i="12"/>
  <c r="A31" i="12" s="1"/>
  <c r="B31" i="12"/>
  <c r="C31" i="12"/>
  <c r="B13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7" i="1" s="1"/>
  <c r="C140" i="2" s="1"/>
  <c r="L404" i="1"/>
  <c r="L405" i="1"/>
  <c r="L406" i="1"/>
  <c r="L266" i="1"/>
  <c r="J60" i="1"/>
  <c r="G56" i="2"/>
  <c r="G59" i="2"/>
  <c r="G61" i="2"/>
  <c r="F2" i="11"/>
  <c r="L613" i="1"/>
  <c r="H663" i="1" s="1"/>
  <c r="L612" i="1"/>
  <c r="G663" i="1" s="1"/>
  <c r="L611" i="1"/>
  <c r="L614" i="1" s="1"/>
  <c r="C40" i="10"/>
  <c r="F60" i="1"/>
  <c r="G60" i="1"/>
  <c r="H60" i="1"/>
  <c r="I60" i="1"/>
  <c r="F56" i="2" s="1"/>
  <c r="F94" i="1"/>
  <c r="G111" i="1"/>
  <c r="H79" i="1"/>
  <c r="H94" i="1"/>
  <c r="H111" i="1"/>
  <c r="I111" i="1"/>
  <c r="I112" i="1"/>
  <c r="J111" i="1"/>
  <c r="J112" i="1"/>
  <c r="F121" i="1"/>
  <c r="F136" i="1"/>
  <c r="F140" i="1" s="1"/>
  <c r="G121" i="1"/>
  <c r="G136" i="1"/>
  <c r="G140" i="1" s="1"/>
  <c r="H121" i="1"/>
  <c r="H136" i="1"/>
  <c r="H140" i="1" s="1"/>
  <c r="I121" i="1"/>
  <c r="I136" i="1"/>
  <c r="J121" i="1"/>
  <c r="J136" i="1"/>
  <c r="J140" i="1" s="1"/>
  <c r="F147" i="1"/>
  <c r="F162" i="1"/>
  <c r="F169" i="1" s="1"/>
  <c r="G147" i="1"/>
  <c r="G162" i="1"/>
  <c r="G169" i="1" s="1"/>
  <c r="H147" i="1"/>
  <c r="H162" i="1"/>
  <c r="H169" i="1" s="1"/>
  <c r="I147" i="1"/>
  <c r="I162" i="1"/>
  <c r="I169" i="1" s="1"/>
  <c r="C13" i="10"/>
  <c r="L250" i="1"/>
  <c r="C113" i="2" s="1"/>
  <c r="L332" i="1"/>
  <c r="L254" i="1"/>
  <c r="L268" i="1"/>
  <c r="L269" i="1"/>
  <c r="L349" i="1"/>
  <c r="E142" i="2" s="1"/>
  <c r="L350" i="1"/>
  <c r="I665" i="1"/>
  <c r="I670" i="1"/>
  <c r="L247" i="1"/>
  <c r="G661" i="1"/>
  <c r="F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E137" i="2" s="1"/>
  <c r="L347" i="1"/>
  <c r="K351" i="1"/>
  <c r="L521" i="1"/>
  <c r="F549" i="1"/>
  <c r="L522" i="1"/>
  <c r="F550" i="1"/>
  <c r="L523" i="1"/>
  <c r="F551" i="1"/>
  <c r="G549" i="1"/>
  <c r="L527" i="1"/>
  <c r="G550" i="1"/>
  <c r="L528" i="1"/>
  <c r="G551" i="1"/>
  <c r="K551" i="1" s="1"/>
  <c r="L532" i="1"/>
  <c r="H550" i="1"/>
  <c r="L533" i="1"/>
  <c r="H551" i="1"/>
  <c r="L536" i="1"/>
  <c r="I549" i="1"/>
  <c r="L537" i="1"/>
  <c r="I550" i="1"/>
  <c r="L538" i="1"/>
  <c r="I551" i="1"/>
  <c r="L541" i="1"/>
  <c r="J549" i="1"/>
  <c r="L542" i="1"/>
  <c r="J550" i="1"/>
  <c r="L543" i="1"/>
  <c r="J551" i="1"/>
  <c r="E131" i="2"/>
  <c r="E144" i="2" s="1"/>
  <c r="K270" i="1"/>
  <c r="J270" i="1"/>
  <c r="I270" i="1"/>
  <c r="H270" i="1"/>
  <c r="G270" i="1"/>
  <c r="F270" i="1"/>
  <c r="L270" i="1" s="1"/>
  <c r="C131" i="2"/>
  <c r="A1" i="2"/>
  <c r="A2" i="2"/>
  <c r="D8" i="2"/>
  <c r="D18" i="2" s="1"/>
  <c r="E8" i="2"/>
  <c r="F8" i="2"/>
  <c r="F18" i="2" s="1"/>
  <c r="I439" i="1"/>
  <c r="J9" i="1"/>
  <c r="G8" i="2" s="1"/>
  <c r="C9" i="2"/>
  <c r="D9" i="2"/>
  <c r="E9" i="2"/>
  <c r="F9" i="2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C34" i="2"/>
  <c r="D34" i="2"/>
  <c r="E34" i="2"/>
  <c r="F34" i="2"/>
  <c r="C35" i="2"/>
  <c r="D35" i="2"/>
  <c r="E35" i="2"/>
  <c r="F35" i="2"/>
  <c r="I454" i="1"/>
  <c r="J49" i="1"/>
  <c r="G48" i="2" s="1"/>
  <c r="I456" i="1"/>
  <c r="J43" i="1" s="1"/>
  <c r="G42" i="2" s="1"/>
  <c r="I457" i="1"/>
  <c r="J37" i="1" s="1"/>
  <c r="I459" i="1"/>
  <c r="J48" i="1" s="1"/>
  <c r="G47" i="2" s="1"/>
  <c r="C49" i="2"/>
  <c r="C56" i="2"/>
  <c r="E56" i="2"/>
  <c r="C57" i="2"/>
  <c r="C58" i="2"/>
  <c r="E58" i="2"/>
  <c r="C59" i="2"/>
  <c r="D59" i="2"/>
  <c r="E59" i="2"/>
  <c r="F59" i="2"/>
  <c r="D60" i="2"/>
  <c r="D61" i="2"/>
  <c r="E61" i="2"/>
  <c r="F61" i="2"/>
  <c r="F62" i="2" s="1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F78" i="2" s="1"/>
  <c r="C77" i="2"/>
  <c r="D77" i="2"/>
  <c r="D78" i="2" s="1"/>
  <c r="E77" i="2"/>
  <c r="F77" i="2"/>
  <c r="G77" i="2"/>
  <c r="G78" i="2" s="1"/>
  <c r="G81" i="2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1" i="2"/>
  <c r="E112" i="2"/>
  <c r="E113" i="2"/>
  <c r="E114" i="2"/>
  <c r="D115" i="2"/>
  <c r="F115" i="2"/>
  <c r="G115" i="2"/>
  <c r="E119" i="2"/>
  <c r="E122" i="2"/>
  <c r="E123" i="2"/>
  <c r="E124" i="2"/>
  <c r="E125" i="2"/>
  <c r="F128" i="2"/>
  <c r="G128" i="2"/>
  <c r="C130" i="2"/>
  <c r="E130" i="2"/>
  <c r="D134" i="2"/>
  <c r="D144" i="2" s="1"/>
  <c r="F134" i="2"/>
  <c r="K419" i="1"/>
  <c r="K427" i="1"/>
  <c r="K434" i="1" s="1"/>
  <c r="G134" i="2" s="1"/>
  <c r="G144" i="2" s="1"/>
  <c r="G145" i="2" s="1"/>
  <c r="K433" i="1"/>
  <c r="L263" i="1"/>
  <c r="C135" i="2" s="1"/>
  <c r="E135" i="2"/>
  <c r="L264" i="1"/>
  <c r="C136" i="2"/>
  <c r="L265" i="1"/>
  <c r="C137" i="2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D159" i="2"/>
  <c r="E159" i="2"/>
  <c r="F159" i="2"/>
  <c r="B160" i="2"/>
  <c r="C160" i="2"/>
  <c r="G160" i="2" s="1"/>
  <c r="D160" i="2"/>
  <c r="E160" i="2"/>
  <c r="F160" i="2"/>
  <c r="F500" i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G162" i="2" s="1"/>
  <c r="E162" i="2"/>
  <c r="F162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H617" i="1" s="1"/>
  <c r="G32" i="1"/>
  <c r="G52" i="1" s="1"/>
  <c r="H618" i="1" s="1"/>
  <c r="J618" i="1" s="1"/>
  <c r="H32" i="1"/>
  <c r="I32" i="1"/>
  <c r="H51" i="1"/>
  <c r="H52" i="1" s="1"/>
  <c r="H619" i="1" s="1"/>
  <c r="J619" i="1" s="1"/>
  <c r="I51" i="1"/>
  <c r="I52" i="1"/>
  <c r="H620" i="1" s="1"/>
  <c r="F177" i="1"/>
  <c r="I177" i="1"/>
  <c r="F183" i="1"/>
  <c r="G183" i="1"/>
  <c r="H183" i="1"/>
  <c r="I183" i="1"/>
  <c r="J183" i="1"/>
  <c r="F188" i="1"/>
  <c r="G188" i="1"/>
  <c r="H188" i="1"/>
  <c r="I188" i="1"/>
  <c r="F211" i="1"/>
  <c r="H211" i="1"/>
  <c r="H257" i="1" s="1"/>
  <c r="H271" i="1" s="1"/>
  <c r="J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H256" i="1"/>
  <c r="I256" i="1"/>
  <c r="J256" i="1"/>
  <c r="K256" i="1"/>
  <c r="F257" i="1"/>
  <c r="G290" i="1"/>
  <c r="I290" i="1"/>
  <c r="F309" i="1"/>
  <c r="G309" i="1"/>
  <c r="G338" i="1" s="1"/>
  <c r="G352" i="1" s="1"/>
  <c r="H309" i="1"/>
  <c r="I309" i="1"/>
  <c r="F328" i="1"/>
  <c r="G328" i="1"/>
  <c r="H328" i="1"/>
  <c r="I328" i="1"/>
  <c r="F337" i="1"/>
  <c r="G337" i="1"/>
  <c r="H337" i="1"/>
  <c r="I337" i="1"/>
  <c r="J337" i="1"/>
  <c r="J338" i="1"/>
  <c r="J352" i="1" s="1"/>
  <c r="K337" i="1"/>
  <c r="F362" i="1"/>
  <c r="G362" i="1"/>
  <c r="I362" i="1"/>
  <c r="G634" i="1" s="1"/>
  <c r="J362" i="1"/>
  <c r="K362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F434" i="1" s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H446" i="1"/>
  <c r="G641" i="1" s="1"/>
  <c r="J641" i="1" s="1"/>
  <c r="F452" i="1"/>
  <c r="F461" i="1" s="1"/>
  <c r="H639" i="1" s="1"/>
  <c r="J639" i="1" s="1"/>
  <c r="G452" i="1"/>
  <c r="H452" i="1"/>
  <c r="F460" i="1"/>
  <c r="G460" i="1"/>
  <c r="H460" i="1"/>
  <c r="G461" i="1"/>
  <c r="H461" i="1"/>
  <c r="F470" i="1"/>
  <c r="G470" i="1"/>
  <c r="H470" i="1"/>
  <c r="H476" i="1" s="1"/>
  <c r="H624" i="1" s="1"/>
  <c r="I470" i="1"/>
  <c r="J470" i="1"/>
  <c r="F474" i="1"/>
  <c r="G474" i="1"/>
  <c r="G476" i="1" s="1"/>
  <c r="H623" i="1" s="1"/>
  <c r="J623" i="1" s="1"/>
  <c r="H474" i="1"/>
  <c r="I474" i="1"/>
  <c r="J474" i="1"/>
  <c r="K495" i="1"/>
  <c r="K496" i="1"/>
  <c r="K497" i="1"/>
  <c r="K499" i="1"/>
  <c r="K501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J545" i="1" s="1"/>
  <c r="K529" i="1"/>
  <c r="L529" i="1"/>
  <c r="G534" i="1"/>
  <c r="G545" i="1" s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K545" i="1" s="1"/>
  <c r="L544" i="1"/>
  <c r="L557" i="1"/>
  <c r="L558" i="1"/>
  <c r="L559" i="1"/>
  <c r="L560" i="1" s="1"/>
  <c r="L571" i="1" s="1"/>
  <c r="F560" i="1"/>
  <c r="G560" i="1"/>
  <c r="H560" i="1"/>
  <c r="I560" i="1"/>
  <c r="I571" i="1" s="1"/>
  <c r="J560" i="1"/>
  <c r="K560" i="1"/>
  <c r="L563" i="1"/>
  <c r="L565" i="1" s="1"/>
  <c r="L564" i="1"/>
  <c r="F565" i="1"/>
  <c r="G565" i="1"/>
  <c r="H565" i="1"/>
  <c r="I565" i="1"/>
  <c r="J565" i="1"/>
  <c r="J571" i="1" s="1"/>
  <c r="K565" i="1"/>
  <c r="L567" i="1"/>
  <c r="L568" i="1"/>
  <c r="L569" i="1"/>
  <c r="F570" i="1"/>
  <c r="G570" i="1"/>
  <c r="G571" i="1" s="1"/>
  <c r="H570" i="1"/>
  <c r="I570" i="1"/>
  <c r="J570" i="1"/>
  <c r="K570" i="1"/>
  <c r="I575" i="1"/>
  <c r="I576" i="1"/>
  <c r="I577" i="1"/>
  <c r="I578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H605" i="1"/>
  <c r="I605" i="1"/>
  <c r="J605" i="1"/>
  <c r="F614" i="1"/>
  <c r="G614" i="1"/>
  <c r="H614" i="1"/>
  <c r="I614" i="1"/>
  <c r="J614" i="1"/>
  <c r="K614" i="1"/>
  <c r="G617" i="1"/>
  <c r="J617" i="1" s="1"/>
  <c r="G618" i="1"/>
  <c r="G619" i="1"/>
  <c r="G620" i="1"/>
  <c r="G622" i="1"/>
  <c r="J622" i="1" s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G643" i="1"/>
  <c r="H643" i="1"/>
  <c r="G644" i="1"/>
  <c r="H644" i="1"/>
  <c r="H645" i="1"/>
  <c r="G649" i="1"/>
  <c r="G650" i="1"/>
  <c r="G652" i="1"/>
  <c r="H652" i="1"/>
  <c r="G653" i="1"/>
  <c r="J653" i="1" s="1"/>
  <c r="H653" i="1"/>
  <c r="G654" i="1"/>
  <c r="H654" i="1"/>
  <c r="H655" i="1"/>
  <c r="C26" i="10"/>
  <c r="L351" i="1"/>
  <c r="C70" i="2"/>
  <c r="D62" i="2"/>
  <c r="D7" i="13"/>
  <c r="C7" i="13" s="1"/>
  <c r="D17" i="13"/>
  <c r="C17" i="13" s="1"/>
  <c r="D6" i="13"/>
  <c r="C6" i="13" s="1"/>
  <c r="C91" i="2"/>
  <c r="F81" i="2"/>
  <c r="D31" i="2"/>
  <c r="D50" i="2"/>
  <c r="G157" i="2"/>
  <c r="G156" i="2"/>
  <c r="G62" i="2"/>
  <c r="G63" i="2" s="1"/>
  <c r="G104" i="2" s="1"/>
  <c r="D29" i="13"/>
  <c r="C29" i="13"/>
  <c r="D14" i="13"/>
  <c r="C14" i="13" s="1"/>
  <c r="E78" i="2"/>
  <c r="E81" i="2" s="1"/>
  <c r="J257" i="1"/>
  <c r="J271" i="1" s="1"/>
  <c r="K605" i="1"/>
  <c r="G648" i="1"/>
  <c r="K571" i="1"/>
  <c r="L419" i="1"/>
  <c r="D81" i="2"/>
  <c r="G552" i="1"/>
  <c r="J644" i="1"/>
  <c r="J643" i="1"/>
  <c r="J476" i="1"/>
  <c r="H626" i="1"/>
  <c r="F476" i="1"/>
  <c r="H622" i="1"/>
  <c r="I476" i="1"/>
  <c r="H625" i="1"/>
  <c r="J625" i="1"/>
  <c r="F571" i="1"/>
  <c r="I552" i="1"/>
  <c r="K550" i="1"/>
  <c r="G22" i="2"/>
  <c r="J552" i="1"/>
  <c r="C29" i="10"/>
  <c r="L401" i="1"/>
  <c r="C139" i="2" s="1"/>
  <c r="L393" i="1"/>
  <c r="F22" i="13"/>
  <c r="H25" i="13"/>
  <c r="C25" i="13" s="1"/>
  <c r="J640" i="1"/>
  <c r="J634" i="1"/>
  <c r="H571" i="1"/>
  <c r="G192" i="1"/>
  <c r="H192" i="1"/>
  <c r="F552" i="1"/>
  <c r="C35" i="10"/>
  <c r="L309" i="1"/>
  <c r="J655" i="1"/>
  <c r="L570" i="1"/>
  <c r="I545" i="1"/>
  <c r="G36" i="2"/>
  <c r="H545" i="1"/>
  <c r="C22" i="13"/>
  <c r="C138" i="2"/>
  <c r="L337" i="1"/>
  <c r="F63" i="2"/>
  <c r="F104" i="2" s="1"/>
  <c r="C23" i="10"/>
  <c r="G158" i="2"/>
  <c r="G103" i="2"/>
  <c r="F103" i="2"/>
  <c r="C103" i="2"/>
  <c r="F91" i="2"/>
  <c r="E50" i="2"/>
  <c r="C50" i="2"/>
  <c r="F31" i="2"/>
  <c r="E18" i="2"/>
  <c r="F50" i="2"/>
  <c r="F51" i="2" s="1"/>
  <c r="G660" i="1"/>
  <c r="G664" i="1" s="1"/>
  <c r="G667" i="1" s="1"/>
  <c r="G31" i="13"/>
  <c r="I338" i="1"/>
  <c r="I352" i="1" s="1"/>
  <c r="J650" i="1"/>
  <c r="I192" i="1"/>
  <c r="E91" i="2"/>
  <c r="D51" i="2"/>
  <c r="J654" i="1"/>
  <c r="G21" i="2"/>
  <c r="J434" i="1"/>
  <c r="C6" i="10"/>
  <c r="F31" i="13"/>
  <c r="G672" i="1"/>
  <c r="C5" i="10"/>
  <c r="G16" i="2"/>
  <c r="H434" i="1"/>
  <c r="J620" i="1"/>
  <c r="D103" i="2"/>
  <c r="I140" i="1"/>
  <c r="A22" i="12"/>
  <c r="J652" i="1"/>
  <c r="I434" i="1"/>
  <c r="G434" i="1"/>
  <c r="C39" i="10" l="1"/>
  <c r="C38" i="10"/>
  <c r="L408" i="1"/>
  <c r="K598" i="1"/>
  <c r="G647" i="1" s="1"/>
  <c r="J647" i="1" s="1"/>
  <c r="F271" i="1"/>
  <c r="G164" i="2"/>
  <c r="C62" i="2"/>
  <c r="E31" i="2"/>
  <c r="E51" i="2" s="1"/>
  <c r="C15" i="10"/>
  <c r="C118" i="2"/>
  <c r="C10" i="10"/>
  <c r="C109" i="2"/>
  <c r="L211" i="1"/>
  <c r="C17" i="10"/>
  <c r="C120" i="2"/>
  <c r="H648" i="1"/>
  <c r="H33" i="13"/>
  <c r="J649" i="1"/>
  <c r="L433" i="1"/>
  <c r="L434" i="1" s="1"/>
  <c r="G638" i="1" s="1"/>
  <c r="J638" i="1" s="1"/>
  <c r="G645" i="1"/>
  <c r="J645" i="1" s="1"/>
  <c r="J192" i="1"/>
  <c r="J193" i="1" s="1"/>
  <c r="D18" i="13"/>
  <c r="C18" i="13" s="1"/>
  <c r="C21" i="10"/>
  <c r="C124" i="2"/>
  <c r="H647" i="1"/>
  <c r="D15" i="13"/>
  <c r="C15" i="13" s="1"/>
  <c r="J648" i="1"/>
  <c r="B161" i="2"/>
  <c r="G161" i="2" s="1"/>
  <c r="K500" i="1"/>
  <c r="D145" i="2"/>
  <c r="J31" i="1"/>
  <c r="I452" i="1"/>
  <c r="C31" i="2"/>
  <c r="C51" i="2" s="1"/>
  <c r="I193" i="1"/>
  <c r="G630" i="1" s="1"/>
  <c r="J630" i="1" s="1"/>
  <c r="E57" i="2"/>
  <c r="E62" i="2" s="1"/>
  <c r="E63" i="2" s="1"/>
  <c r="E104" i="2" s="1"/>
  <c r="H112" i="1"/>
  <c r="H193" i="1" s="1"/>
  <c r="G629" i="1" s="1"/>
  <c r="J629" i="1" s="1"/>
  <c r="C141" i="2"/>
  <c r="D5" i="13"/>
  <c r="C19" i="10"/>
  <c r="C122" i="2"/>
  <c r="E13" i="13"/>
  <c r="C13" i="13" s="1"/>
  <c r="F33" i="13"/>
  <c r="G624" i="1"/>
  <c r="J624" i="1" s="1"/>
  <c r="K503" i="1"/>
  <c r="F192" i="1"/>
  <c r="C78" i="2"/>
  <c r="C81" i="2" s="1"/>
  <c r="G651" i="1"/>
  <c r="J651" i="1" s="1"/>
  <c r="H662" i="1"/>
  <c r="I662" i="1" s="1"/>
  <c r="C16" i="10"/>
  <c r="C121" i="2"/>
  <c r="D12" i="13"/>
  <c r="C12" i="13" s="1"/>
  <c r="C63" i="2"/>
  <c r="I440" i="1"/>
  <c r="F130" i="2"/>
  <c r="F144" i="2" s="1"/>
  <c r="F145" i="2" s="1"/>
  <c r="L382" i="1"/>
  <c r="G636" i="1" s="1"/>
  <c r="J636" i="1" s="1"/>
  <c r="G112" i="1"/>
  <c r="G193" i="1" s="1"/>
  <c r="G628" i="1" s="1"/>
  <c r="J628" i="1" s="1"/>
  <c r="D56" i="2"/>
  <c r="D63" i="2" s="1"/>
  <c r="D104" i="2" s="1"/>
  <c r="H661" i="1"/>
  <c r="K498" i="1"/>
  <c r="C159" i="2"/>
  <c r="G159" i="2" s="1"/>
  <c r="I211" i="1"/>
  <c r="I257" i="1" s="1"/>
  <c r="I271" i="1" s="1"/>
  <c r="G8" i="13"/>
  <c r="G33" i="13" s="1"/>
  <c r="K211" i="1"/>
  <c r="K257" i="1" s="1"/>
  <c r="K271" i="1" s="1"/>
  <c r="L284" i="1"/>
  <c r="F111" i="1"/>
  <c r="F112" i="1" s="1"/>
  <c r="F193" i="1" s="1"/>
  <c r="G627" i="1" s="1"/>
  <c r="J627" i="1" s="1"/>
  <c r="C61" i="2"/>
  <c r="C18" i="2"/>
  <c r="C25" i="10"/>
  <c r="C132" i="2"/>
  <c r="C144" i="2" s="1"/>
  <c r="L328" i="1"/>
  <c r="H660" i="1" s="1"/>
  <c r="H664" i="1" s="1"/>
  <c r="K338" i="1"/>
  <c r="K352" i="1" s="1"/>
  <c r="L362" i="1"/>
  <c r="F661" i="1"/>
  <c r="I661" i="1" s="1"/>
  <c r="D127" i="2"/>
  <c r="D128" i="2" s="1"/>
  <c r="C12" i="10"/>
  <c r="C111" i="2"/>
  <c r="J45" i="1"/>
  <c r="I460" i="1"/>
  <c r="K502" i="1"/>
  <c r="B163" i="2"/>
  <c r="G163" i="2" s="1"/>
  <c r="C119" i="2"/>
  <c r="C123" i="2"/>
  <c r="B9" i="12"/>
  <c r="A13" i="12" s="1"/>
  <c r="F290" i="1"/>
  <c r="F338" i="1" s="1"/>
  <c r="F352" i="1" s="1"/>
  <c r="L277" i="1"/>
  <c r="L290" i="1" s="1"/>
  <c r="H290" i="1"/>
  <c r="H338" i="1" s="1"/>
  <c r="H352" i="1" s="1"/>
  <c r="L253" i="1"/>
  <c r="G256" i="1"/>
  <c r="L531" i="1"/>
  <c r="F534" i="1"/>
  <c r="F545" i="1" s="1"/>
  <c r="I579" i="1"/>
  <c r="F663" i="1"/>
  <c r="I663" i="1" s="1"/>
  <c r="H672" i="1" l="1"/>
  <c r="H667" i="1"/>
  <c r="D31" i="13"/>
  <c r="C31" i="13" s="1"/>
  <c r="L338" i="1"/>
  <c r="L352" i="1" s="1"/>
  <c r="G633" i="1" s="1"/>
  <c r="J633" i="1" s="1"/>
  <c r="G646" i="1"/>
  <c r="G631" i="1"/>
  <c r="J631" i="1" s="1"/>
  <c r="L534" i="1"/>
  <c r="L545" i="1" s="1"/>
  <c r="H549" i="1"/>
  <c r="G44" i="2"/>
  <c r="G50" i="2" s="1"/>
  <c r="J51" i="1"/>
  <c r="D33" i="13"/>
  <c r="D36" i="13" s="1"/>
  <c r="C5" i="13"/>
  <c r="G257" i="1"/>
  <c r="G271" i="1" s="1"/>
  <c r="L256" i="1"/>
  <c r="C115" i="2"/>
  <c r="C145" i="2" s="1"/>
  <c r="C36" i="10"/>
  <c r="D19" i="13"/>
  <c r="C19" i="13" s="1"/>
  <c r="C24" i="10"/>
  <c r="C114" i="2"/>
  <c r="C11" i="10"/>
  <c r="E110" i="2"/>
  <c r="E115" i="2" s="1"/>
  <c r="J10" i="1"/>
  <c r="I446" i="1"/>
  <c r="G642" i="1" s="1"/>
  <c r="G30" i="2"/>
  <c r="G31" i="2" s="1"/>
  <c r="J32" i="1"/>
  <c r="L257" i="1"/>
  <c r="L271" i="1" s="1"/>
  <c r="G632" i="1" s="1"/>
  <c r="J632" i="1" s="1"/>
  <c r="F660" i="1"/>
  <c r="G635" i="1"/>
  <c r="J635" i="1" s="1"/>
  <c r="C27" i="10"/>
  <c r="E121" i="2"/>
  <c r="E128" i="2" s="1"/>
  <c r="C18" i="10"/>
  <c r="C104" i="2"/>
  <c r="G637" i="1"/>
  <c r="J637" i="1" s="1"/>
  <c r="H646" i="1"/>
  <c r="I461" i="1"/>
  <c r="H642" i="1" s="1"/>
  <c r="E8" i="13"/>
  <c r="C128" i="2"/>
  <c r="G9" i="2" l="1"/>
  <c r="G18" i="2" s="1"/>
  <c r="J19" i="1"/>
  <c r="G621" i="1" s="1"/>
  <c r="J52" i="1"/>
  <c r="H621" i="1" s="1"/>
  <c r="G626" i="1"/>
  <c r="J626" i="1" s="1"/>
  <c r="D11" i="10"/>
  <c r="H552" i="1"/>
  <c r="K549" i="1"/>
  <c r="K552" i="1" s="1"/>
  <c r="I660" i="1"/>
  <c r="I664" i="1" s="1"/>
  <c r="F664" i="1"/>
  <c r="J642" i="1"/>
  <c r="C28" i="10"/>
  <c r="C8" i="13"/>
  <c r="E33" i="13"/>
  <c r="D35" i="13" s="1"/>
  <c r="E145" i="2"/>
  <c r="D36" i="10"/>
  <c r="C41" i="10"/>
  <c r="G51" i="2"/>
  <c r="J646" i="1"/>
  <c r="I672" i="1" l="1"/>
  <c r="C7" i="10" s="1"/>
  <c r="I667" i="1"/>
  <c r="D23" i="10"/>
  <c r="C30" i="10"/>
  <c r="D22" i="10"/>
  <c r="D13" i="10"/>
  <c r="D20" i="10"/>
  <c r="D26" i="10"/>
  <c r="D21" i="10"/>
  <c r="D16" i="10"/>
  <c r="D15" i="10"/>
  <c r="D25" i="10"/>
  <c r="D10" i="10"/>
  <c r="D17" i="10"/>
  <c r="D19" i="10"/>
  <c r="D12" i="10"/>
  <c r="D18" i="10"/>
  <c r="D24" i="10"/>
  <c r="D27" i="10"/>
  <c r="D35" i="10"/>
  <c r="D40" i="10"/>
  <c r="D37" i="10"/>
  <c r="D39" i="10"/>
  <c r="D38" i="10"/>
  <c r="F672" i="1"/>
  <c r="C4" i="10" s="1"/>
  <c r="F667" i="1"/>
  <c r="J621" i="1"/>
  <c r="H656" i="1"/>
  <c r="D28" i="10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<sst xmlns="http://schemas.openxmlformats.org/spreadsheetml/2006/main" count="3961" uniqueCount="918">
  <si>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</si>
  <si>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</si>
  <si>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</si>
  <si>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</si>
  <si>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</si>
  <si>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</si>
  <si>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</si>
  <si>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</si>
  <si>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</si>
  <si>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</si>
  <si>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</si>
  <si>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</si>
  <si>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</si>
  <si>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</si>
  <si>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</si>
  <si>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</si>
  <si>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</si>
  <si>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</si>
  <si>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</si>
  <si>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</si>
  <si>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</si>
  <si>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</si>
  <si>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</si>
  <si>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</si>
  <si>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</si>
  <si>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</si>
  <si>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</si>
  <si>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</si>
  <si>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</si>
  <si>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</si>
  <si>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</si>
  <si>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</si>
  <si>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</si>
  <si>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</si>
  <si>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</si>
  <si>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</si>
  <si>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</si>
  <si>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</si>
  <si>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</si>
  <si>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</si>
  <si>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</si>
  <si>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</si>
  <si>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</si>
  <si>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</si>
  <si>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</si>
  <si>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</si>
  <si>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</si>
  <si>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</si>
  <si>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</si>
  <si>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</si>
  <si>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</si>
  <si>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</si>
  <si>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</si>
  <si>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</si>
  <si>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</si>
  <si>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</si>
  <si>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</si>
  <si>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</si>
  <si>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</si>
  <si>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</si>
  <si>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</si>
  <si>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</si>
  <si>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</si>
  <si>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</si>
  <si>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</si>
  <si>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</si>
  <si>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</si>
  <si>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</si>
  <si>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</si>
  <si>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</si>
  <si>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</si>
  <si>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</si>
  <si>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</si>
  <si>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</si>
  <si>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</si>
  <si>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</si>
  <si>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</si>
  <si>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</si>
  <si>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</si>
  <si>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</si>
  <si>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</si>
  <si>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</si>
  <si>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</si>
  <si>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</si>
  <si>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</si>
  <si>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</si>
  <si>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</si>
  <si>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</si>
  <si>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</si>
  <si>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</si>
  <si>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</si>
  <si>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</si>
  <si>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</si>
  <si>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</si>
  <si>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</si>
  <si>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</si>
  <si>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</si>
  <si>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</si>
  <si>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</si>
  <si>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</si>
  <si>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</si>
  <si>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</si>
  <si>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</si>
  <si>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</si>
  <si>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</si>
  <si>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</si>
  <si>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</si>
  <si>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</si>
  <si>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</si>
  <si>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</si>
  <si>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</si>
  <si>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</si>
  <si>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</si>
  <si>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</si>
  <si>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</si>
  <si>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</si>
  <si>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</si>
  <si>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</si>
  <si>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</si>
  <si>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</si>
  <si>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</si>
  <si>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</si>
  <si>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</si>
  <si>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</si>
  <si>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</si>
  <si>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</si>
  <si>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</si>
  <si>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</si>
  <si>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</si>
  <si>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</si>
  <si>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</si>
  <si>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</si>
  <si>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</si>
  <si>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</si>
  <si>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</si>
  <si>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</si>
  <si>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</si>
  <si>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</si>
  <si>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</si>
  <si>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</si>
  <si>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</si>
  <si>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</si>
  <si>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</si>
  <si>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</si>
  <si>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</si>
  <si>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</si>
  <si>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</si>
  <si>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</si>
  <si>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</si>
  <si>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</si>
  <si>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</si>
  <si>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</si>
  <si>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</si>
  <si>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</si>
  <si>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</si>
  <si>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</si>
  <si>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</si>
  <si>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</si>
  <si>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</si>
  <si>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</si>
  <si>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</si>
  <si>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</si>
  <si>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</si>
  <si>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</si>
  <si>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</si>
  <si>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</si>
  <si>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</si>
  <si>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</si>
  <si>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</si>
  <si>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</si>
  <si>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</si>
  <si>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</si>
  <si>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</si>
  <si>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</si>
  <si>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</si>
  <si>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</si>
  <si>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</si>
  <si>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</si>
  <si>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</si>
  <si>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</si>
  <si>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</si>
  <si>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</si>
  <si>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</si>
  <si>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</si>
  <si>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</si>
  <si>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</si>
  <si>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</si>
  <si>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</si>
  <si>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</si>
  <si>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</si>
  <si>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</si>
  <si>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</si>
  <si>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</si>
  <si>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</si>
  <si>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</si>
  <si>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</si>
  <si>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</si>
  <si>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</si>
  <si>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</si>
  <si>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</si>
  <si>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</si>
  <si>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</si>
  <si>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</si>
  <si>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</si>
  <si>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</si>
  <si>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</si>
  <si>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</si>
  <si>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</si>
  <si>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</si>
  <si>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</si>
  <si>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</si>
  <si>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</si>
  <si>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</si>
  <si>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</si>
  <si>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</si>
  <si>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</si>
  <si>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</si>
  <si>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</si>
  <si>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</si>
  <si>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</si>
  <si>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</si>
  <si>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</si>
  <si>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</si>
  <si>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</si>
  <si>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</si>
  <si>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</si>
  <si>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</si>
  <si>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</si>
  <si>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</si>
  <si>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</si>
  <si>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</si>
  <si>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</si>
  <si>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</si>
  <si>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</si>
  <si>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</si>
  <si>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</si>
  <si>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</si>
  <si>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</si>
  <si>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</si>
  <si>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</si>
  <si>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</si>
  <si>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</si>
  <si>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</si>
  <si>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</si>
  <si>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</si>
  <si>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</si>
  <si>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</si>
  <si>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</si>
  <si>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</si>
  <si>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</si>
  <si>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</si>
  <si>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</si>
  <si>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</si>
  <si>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</si>
  <si>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</si>
  <si>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</si>
  <si>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</si>
  <si>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</si>
  <si>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</si>
  <si>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</si>
  <si>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</si>
  <si>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</si>
  <si>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</si>
  <si>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</si>
  <si>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</si>
  <si>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</si>
  <si>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</si>
  <si>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</si>
  <si>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</si>
  <si>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</si>
  <si>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</si>
  <si>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</si>
  <si>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</si>
  <si>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</si>
  <si>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</si>
  <si>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</si>
  <si>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</si>
  <si>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</si>
  <si>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</si>
  <si>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</si>
  <si>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</si>
  <si>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</si>
  <si>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</si>
  <si>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</si>
  <si>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</si>
  <si>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</si>
  <si>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</si>
  <si>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</si>
  <si>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</si>
  <si>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</si>
  <si>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</si>
  <si>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</si>
  <si>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</si>
  <si>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</si>
  <si>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</si>
  <si>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</si>
  <si>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</si>
  <si>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</si>
  <si>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</si>
  <si>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</si>
  <si>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</si>
  <si>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</si>
  <si>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</si>
  <si>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</si>
  <si>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</si>
  <si>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</si>
  <si>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</si>
  <si>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</si>
  <si>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</si>
  <si>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</si>
  <si>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</si>
  <si>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</si>
  <si>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</si>
  <si>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</si>
  <si>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</si>
  <si>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</si>
  <si>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</si>
  <si>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</si>
  <si>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</si>
  <si>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</si>
  <si>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</si>
  <si>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</si>
  <si>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</si>
  <si>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</si>
  <si>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</si>
  <si>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</si>
  <si>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</si>
  <si>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</si>
  <si>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</si>
  <si>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</si>
  <si>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</si>
  <si>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</si>
  <si>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</si>
  <si>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</si>
  <si>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</si>
  <si>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</si>
  <si>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</si>
  <si>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</si>
  <si>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</si>
  <si>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</si>
  <si>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</si>
  <si>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</si>
  <si>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</si>
  <si>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</si>
  <si>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</si>
  <si>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</si>
  <si>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</si>
  <si>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</si>
  <si>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</si>
  <si>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</si>
  <si>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</si>
  <si>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</si>
  <si>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</si>
  <si>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</si>
  <si>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</si>
  <si>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</si>
  <si>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</si>
  <si>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</si>
  <si>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</si>
  <si>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</si>
  <si>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</si>
  <si>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</si>
  <si>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</si>
  <si>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</si>
  <si>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</si>
  <si>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</si>
  <si>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</si>
  <si>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</si>
  <si>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</si>
  <si>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</si>
  <si>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</si>
  <si>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</si>
  <si>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</si>
  <si>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</si>
  <si>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</si>
  <si>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</si>
  <si>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</si>
  <si>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</si>
  <si>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</si>
  <si>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</si>
  <si>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</si>
  <si>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</si>
  <si>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</si>
  <si>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</si>
  <si>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</si>
  <si>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</si>
  <si>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</si>
  <si>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</si>
  <si>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</si>
  <si>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</si>
  <si>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</si>
  <si>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</si>
  <si>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</si>
  <si>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</si>
  <si>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</si>
  <si>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</si>
  <si>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</si>
  <si>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</si>
  <si>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</si>
  <si>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</si>
  <si>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</si>
  <si>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</si>
  <si>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</si>
  <si>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</si>
  <si>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</si>
  <si>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</si>
  <si>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</si>
  <si>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</si>
  <si>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</si>
  <si>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</si>
  <si>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</si>
  <si>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</si>
  <si>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</si>
  <si>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</si>
  <si>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</si>
  <si>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</si>
  <si>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</si>
  <si>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</si>
  <si>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</si>
  <si>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</si>
  <si>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</si>
  <si>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</si>
  <si>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</si>
  <si>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</si>
  <si>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</si>
  <si>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</si>
  <si>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</si>
  <si>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</si>
  <si>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</si>
  <si>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</si>
  <si>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</si>
  <si>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</si>
  <si>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</si>
  <si>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</si>
  <si>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</si>
  <si>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</si>
  <si>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</si>
  <si>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</si>
  <si>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</si>
  <si>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</si>
  <si>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</si>
  <si>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</si>
  <si>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</si>
  <si>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</si>
  <si>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</si>
  <si>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</si>
  <si>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</si>
  <si>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</si>
  <si>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</si>
  <si>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</si>
  <si>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</si>
  <si>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</si>
  <si>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</si>
  <si>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</si>
  <si>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</si>
  <si>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</si>
  <si>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</si>
  <si>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</si>
  <si>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</si>
  <si>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</si>
  <si>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</si>
  <si>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</si>
  <si>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</si>
  <si>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</si>
  <si>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</si>
  <si>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</si>
  <si>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</si>
  <si>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</si>
  <si>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</si>
  <si>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</si>
  <si>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</si>
  <si>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</si>
  <si>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</si>
  <si>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</si>
  <si>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</si>
  <si>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</si>
  <si>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</si>
  <si>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</si>
  <si>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</si>
  <si>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</si>
  <si>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</si>
  <si>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</si>
  <si>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</si>
  <si>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</si>
  <si>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</si>
  <si>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</si>
  <si>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</si>
  <si>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</si>
  <si>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</si>
  <si>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</si>
  <si>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</si>
  <si>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</si>
  <si>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</si>
  <si>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</si>
  <si>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</si>
  <si>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</si>
  <si>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</si>
  <si>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</si>
  <si>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</si>
  <si>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</si>
  <si>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</si>
  <si>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</si>
  <si>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</si>
  <si>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</si>
  <si>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</si>
  <si>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</si>
  <si>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</si>
  <si>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</si>
  <si>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</si>
  <si>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</si>
  <si>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</si>
  <si>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</si>
  <si>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</si>
  <si>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</si>
  <si>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</si>
  <si>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</si>
  <si>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</si>
  <si>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</si>
  <si>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</si>
  <si>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</si>
  <si>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</si>
  <si>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</si>
  <si>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</si>
  <si>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</si>
  <si>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</si>
  <si>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</si>
  <si>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</si>
  <si>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</si>
  <si>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</si>
  <si>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</si>
  <si>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</si>
  <si>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</si>
  <si>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</si>
  <si>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</si>
  <si>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</si>
  <si>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</si>
  <si>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</si>
  <si>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</si>
  <si>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</si>
  <si>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</si>
  <si>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</si>
  <si>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</si>
  <si>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</si>
  <si>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</si>
  <si>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</si>
  <si>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</si>
  <si>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</si>
  <si>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</si>
  <si>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</si>
  <si>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</si>
  <si>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</si>
  <si>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</si>
  <si>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</si>
  <si>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</si>
  <si>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</si>
  <si>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</si>
  <si>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</si>
  <si>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</si>
  <si>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</si>
  <si>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</si>
  <si>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</si>
  <si>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</si>
  <si>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</si>
  <si>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</si>
  <si>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</si>
  <si>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</si>
  <si>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</si>
  <si>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</si>
  <si>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</si>
  <si>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</si>
  <si>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</si>
  <si>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</si>
  <si>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</si>
  <si>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</si>
  <si>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</si>
  <si>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</si>
  <si>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</si>
  <si>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</si>
  <si>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</si>
  <si>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</si>
  <si>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</si>
  <si>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</si>
  <si>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</si>
  <si>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</si>
  <si>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</si>
  <si>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</si>
  <si>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</si>
  <si>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</si>
  <si>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</si>
  <si>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</si>
  <si>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</si>
  <si>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</si>
  <si>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</si>
  <si>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</si>
  <si>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</si>
  <si>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</si>
  <si>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</si>
  <si>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</si>
  <si>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</si>
  <si>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</si>
  <si>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</si>
  <si>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</si>
  <si>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</si>
  <si>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</si>
  <si>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</si>
  <si>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</si>
  <si>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</si>
  <si>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</si>
  <si>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</si>
  <si>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</si>
  <si>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</si>
  <si>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</si>
  <si>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</si>
  <si>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</si>
  <si>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</si>
  <si>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</si>
  <si>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</si>
  <si>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</si>
  <si>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</si>
  <si>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</si>
  <si>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</si>
  <si>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</si>
  <si>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</si>
  <si>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</si>
  <si>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</si>
  <si>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</si>
  <si>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</si>
  <si>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</si>
  <si>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</si>
  <si>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</si>
  <si>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</si>
  <si>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</si>
  <si>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</si>
  <si>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</si>
  <si>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</si>
  <si>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</si>
  <si>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</si>
  <si>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</si>
  <si>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</si>
  <si>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</si>
  <si>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</si>
  <si>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</si>
  <si>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</si>
  <si>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</si>
  <si>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</si>
  <si>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</si>
  <si>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</si>
  <si>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</si>
  <si>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</si>
  <si>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</si>
  <si>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</si>
  <si>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</si>
  <si>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</si>
  <si>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</si>
  <si>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</si>
  <si>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</si>
  <si>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</si>
  <si>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</si>
  <si>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</si>
  <si>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</si>
  <si>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</si>
  <si>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</si>
  <si>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</si>
  <si>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</si>
  <si>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</si>
  <si>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</si>
  <si>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</si>
  <si>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</si>
  <si>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</si>
  <si>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</si>
  <si>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</si>
  <si>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</si>
  <si>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</si>
  <si>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</si>
  <si>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</si>
  <si>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</si>
  <si>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</si>
  <si>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</si>
  <si>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</si>
  <si>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</si>
  <si>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</si>
  <si>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</si>
  <si>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</si>
  <si>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</si>
  <si>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</si>
  <si>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</si>
  <si>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</si>
  <si>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</si>
  <si>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</si>
  <si>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</si>
  <si>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</si>
  <si>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</si>
  <si>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</si>
  <si>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</si>
  <si>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</si>
  <si>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</si>
  <si>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</si>
  <si>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</si>
  <si>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</si>
  <si>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</si>
  <si>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</si>
  <si>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</si>
  <si>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</si>
  <si>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</si>
  <si>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</si>
  <si>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</si>
  <si>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</si>
  <si>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</si>
  <si>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</si>
  <si>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</si>
  <si>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</si>
  <si>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</si>
  <si>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</si>
  <si>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</si>
  <si>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</si>
  <si>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</si>
  <si>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</si>
  <si>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</si>
  <si>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</si>
  <si>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</si>
  <si>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</si>
  <si>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</si>
  <si>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</si>
  <si>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</si>
  <si>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</si>
  <si>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</si>
  <si>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</si>
  <si>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</si>
  <si>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</si>
  <si>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</si>
  <si>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</si>
  <si>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</si>
  <si>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</si>
  <si>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</si>
  <si>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</si>
  <si>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</si>
  <si>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</si>
  <si>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</si>
  <si>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</si>
  <si>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</si>
  <si>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</si>
  <si>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</si>
  <si>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</si>
  <si>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</si>
  <si>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</si>
  <si>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</si>
  <si>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</si>
  <si>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</si>
  <si>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</si>
  <si>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</si>
  <si>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</si>
  <si>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</si>
  <si>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</si>
  <si>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</si>
  <si>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</si>
  <si>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</si>
  <si>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</si>
  <si>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</si>
  <si>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</si>
  <si>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</si>
  <si>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</si>
  <si>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</si>
  <si>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</si>
  <si>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</si>
  <si>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</si>
  <si>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</si>
  <si>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</si>
  <si>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</si>
  <si>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</si>
  <si>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</si>
  <si>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</si>
  <si>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</si>
  <si>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</si>
  <si>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</si>
  <si>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</si>
  <si>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</si>
  <si>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</si>
  <si>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</si>
  <si>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</si>
  <si>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</si>
  <si>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</si>
  <si>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</si>
  <si>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</si>
  <si>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</si>
  <si>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</si>
  <si>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</si>
  <si>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</si>
  <si>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</si>
  <si>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</si>
  <si>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</si>
  <si>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</si>
  <si>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</si>
  <si>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</si>
  <si>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</si>
  <si>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</si>
  <si>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</si>
  <si>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</si>
  <si>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</si>
  <si>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</si>
  <si>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</si>
  <si>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</si>
  <si>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</si>
  <si>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</si>
  <si>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</si>
  <si>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</si>
  <si>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</si>
  <si>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</si>
  <si>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</si>
  <si>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</si>
  <si>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</si>
  <si>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</si>
  <si>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</si>
  <si>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</si>
  <si>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</si>
  <si>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</si>
  <si>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</si>
  <si>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</si>
  <si>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</si>
  <si>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</si>
  <si>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</si>
  <si>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</si>
  <si>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</si>
  <si>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</si>
  <si>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</si>
  <si>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</si>
  <si>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</si>
  <si>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</si>
  <si>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</si>
  <si>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</si>
  <si>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</si>
  <si>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</si>
  <si>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</si>
  <si>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</si>
  <si>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</si>
  <si>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</si>
  <si>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</si>
  <si>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</si>
  <si>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</si>
  <si>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</si>
  <si>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</si>
  <si>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</si>
  <si>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</si>
  <si>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</si>
  <si>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</si>
  <si>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</si>
  <si>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</si>
  <si>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</si>
  <si>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</si>
  <si>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</si>
  <si>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</si>
  <si>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</si>
  <si>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</si>
  <si>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</si>
  <si>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</si>
  <si>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</si>
  <si>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</si>
  <si>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</si>
  <si>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</si>
  <si>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</si>
  <si>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</si>
  <si>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</si>
  <si>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</si>
  <si>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</si>
  <si>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</si>
  <si>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</si>
  <si>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</si>
  <si>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</si>
  <si>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</si>
  <si>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</si>
  <si>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</si>
  <si>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</si>
  <si>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</si>
  <si>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</si>
  <si>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</si>
  <si>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</si>
  <si>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</si>
  <si>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</si>
  <si>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</si>
  <si>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</si>
  <si>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</si>
  <si>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</si>
  <si>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</si>
  <si>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</si>
  <si>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</si>
  <si>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</si>
  <si>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</si>
  <si>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</si>
  <si>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</si>
  <si>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</si>
  <si>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</si>
  <si>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</si>
  <si>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</si>
  <si>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</si>
  <si>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</si>
  <si>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</si>
  <si>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</si>
  <si>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</si>
  <si>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</si>
  <si>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</si>
  <si>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</si>
  <si>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</si>
  <si>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</si>
  <si>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</si>
  <si>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</si>
  <si>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</si>
  <si>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</si>
  <si>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</si>
  <si>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</si>
  <si>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</si>
  <si>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</si>
  <si>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</si>
  <si>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Hampton School District</t>
  </si>
  <si>
    <t>07/96</t>
  </si>
  <si>
    <t>08/16</t>
  </si>
  <si>
    <t>07/98</t>
  </si>
  <si>
    <t>08/18</t>
  </si>
  <si>
    <t>The General Fund "other" revenue is $167,525.17 from LGC Return of Surplus (health).</t>
  </si>
  <si>
    <t>This amount is the State reimbursement for costs related to an IEP of a resident student attending a charter school.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</si>
</sst>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u/>
      <sz val="8"/>
      <color theme="10"/>
      <name val="Arial"/>
    </font>
    <font>
      <u/>
      <sz val="8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19">
    <xf numFmtId="0" fontId="0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0" fillId="0" borderId="0" xfId="0" applyNumberFormat="1" applyFont="1" applyBorder="1" applyAlignment="1" applyProtection="1">
      <alignment horizontal="left"/>
      <protection locked="0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25" zoomScaleNormal="125" zoomScalePageLayoutView="125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ColWidth="9"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225</v>
      </c>
      <c r="C2" s="21">
        <v>225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971042.67+500+100-84108.12-225031</f>
        <v>662503.55000000005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215355.93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98234.08</v>
      </c>
      <c r="G12" s="18">
        <v>19194.82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>
        <v>103465.26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760737.63</v>
      </c>
      <c r="G19" s="41">
        <f>SUM(G9:G18)</f>
        <v>19194.82</v>
      </c>
      <c r="H19" s="41">
        <f>SUM(H9:H18)</f>
        <v>103465.26</v>
      </c>
      <c r="I19" s="41">
        <f>SUM(I9:I18)</f>
        <v>0</v>
      </c>
      <c r="J19" s="41">
        <f>SUM(J9:J18)</f>
        <v>215355.93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19194.82</v>
      </c>
      <c r="G22" s="18"/>
      <c r="H22" s="18">
        <v>98234.08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>
        <v>5231.18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59593.66+7876.81</f>
        <v>67470.47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f>67006.71+2551.88-1337.58-77.23</f>
        <v>68143.780000000013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154809.07</v>
      </c>
      <c r="G32" s="41">
        <f>SUM(G22:G31)</f>
        <v>0</v>
      </c>
      <c r="H32" s="41">
        <f>SUM(H22:H31)</f>
        <v>103465.26000000001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215355.93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159113.79999999999</v>
      </c>
      <c r="G49" s="18">
        <v>19194.82</v>
      </c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446814.76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605928.56000000006</v>
      </c>
      <c r="G51" s="41">
        <f>SUM(G35:G50)</f>
        <v>19194.82</v>
      </c>
      <c r="H51" s="41">
        <f>SUM(H35:H50)</f>
        <v>0</v>
      </c>
      <c r="I51" s="41">
        <f>SUM(I35:I50)</f>
        <v>0</v>
      </c>
      <c r="J51" s="41">
        <f>SUM(J35:J50)</f>
        <v>215355.93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760737.63000000012</v>
      </c>
      <c r="G52" s="41">
        <f>G51+G32</f>
        <v>19194.82</v>
      </c>
      <c r="H52" s="41">
        <f>H51+H32</f>
        <v>103465.26000000001</v>
      </c>
      <c r="I52" s="41">
        <f>I51+I32</f>
        <v>0</v>
      </c>
      <c r="J52" s="41">
        <f>J51+J32</f>
        <v>215355.93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18068094-4494063</f>
        <v>13574031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13574031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f>15323.05+13704</f>
        <v>29027.05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29027.05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3490.35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69899.85+88294.57+120824.34+9191.11</f>
        <v>288209.87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10003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f>11041.41+26000+1900+145.35+204.63</f>
        <v>39291.39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38425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22601.45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167525.17000000001</v>
      </c>
      <c r="G110" s="18"/>
      <c r="H110" s="18"/>
      <c r="I110" s="18"/>
      <c r="J110" s="18">
        <v>1169.17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277846.01</v>
      </c>
      <c r="G111" s="41">
        <f>SUM(G96:G110)</f>
        <v>288209.87</v>
      </c>
      <c r="H111" s="41">
        <f>SUM(H96:H110)</f>
        <v>0</v>
      </c>
      <c r="I111" s="41">
        <f>SUM(I96:I110)</f>
        <v>0</v>
      </c>
      <c r="J111" s="41">
        <f>SUM(J96:J110)</f>
        <v>4659.5200000000004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13880904.060000001</v>
      </c>
      <c r="G112" s="41">
        <f>G60+G111</f>
        <v>288209.87</v>
      </c>
      <c r="H112" s="41">
        <f>H60+H79+H94+H111</f>
        <v>0</v>
      </c>
      <c r="I112" s="41">
        <f>I60+I111</f>
        <v>0</v>
      </c>
      <c r="J112" s="41">
        <f>J60+J111</f>
        <v>4659.5200000000004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34003.1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4494063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4528066.0999999996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123237.7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7427.83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1881.98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125119.67999999999</v>
      </c>
      <c r="G136" s="41">
        <f>SUM(G123:G135)</f>
        <v>7427.83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4653185.7799999993</v>
      </c>
      <c r="G140" s="41">
        <f>G121+SUM(G136:G137)</f>
        <v>7427.83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153660.31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3001.83+10870.19+6047.69+3755.35+50155.62+8558.33</f>
        <v>82389.009999999995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122906.04+33827.9+2.08</f>
        <v>156736.01999999999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254022.9+9793.89</f>
        <v>263816.78999999998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76655.59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f>2563.6+3575</f>
        <v>6138.6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76655.59</v>
      </c>
      <c r="G162" s="41">
        <f>SUM(G150:G161)</f>
        <v>156736.01999999999</v>
      </c>
      <c r="H162" s="41">
        <f>SUM(H150:H161)</f>
        <v>506004.70999999996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76655.59</v>
      </c>
      <c r="G169" s="41">
        <f>G147+G162+SUM(G163:G168)</f>
        <v>156736.01999999999</v>
      </c>
      <c r="H169" s="41">
        <f>H147+H162+SUM(H163:H168)</f>
        <v>506004.70999999996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18610745.43</v>
      </c>
      <c r="G193" s="47">
        <f>G112+G140+G169+G192</f>
        <v>452373.72</v>
      </c>
      <c r="H193" s="47">
        <f>H112+H140+H169+H192</f>
        <v>506004.70999999996</v>
      </c>
      <c r="I193" s="47">
        <f>I112+I140+I169+I192</f>
        <v>0</v>
      </c>
      <c r="J193" s="47">
        <f>J112+J140+J192</f>
        <v>4659.5200000000004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1830555.64+1836521.72+2197002.96+136356+14530.43+141584.11</f>
        <v>6156550.8600000003</v>
      </c>
      <c r="G197" s="18">
        <v>2496236.63</v>
      </c>
      <c r="H197" s="18">
        <f>(189+13506.1)+(12507.04)+(101.62+12834.93)</f>
        <v>39138.69</v>
      </c>
      <c r="I197" s="18">
        <f>(20124.71+17822.63+1875.76)+(22984.34+21998.06+1395.13)+(30753.96+8586.43)</f>
        <v>125541.02</v>
      </c>
      <c r="J197" s="18">
        <f>1444.97+749.34+1111.36</f>
        <v>3305.67</v>
      </c>
      <c r="K197" s="18"/>
      <c r="L197" s="19">
        <f>SUM(F197:K197)</f>
        <v>8820772.8699999992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82948+861112.73+285899.07+8581.25+72682.5</f>
        <v>1311223.55</v>
      </c>
      <c r="G198" s="18">
        <v>531649.02</v>
      </c>
      <c r="H198" s="18">
        <f>(108056.02-7802.69-1072)+85737.04</f>
        <v>184918.37</v>
      </c>
      <c r="I198" s="18">
        <f>2349.99+5452.7</f>
        <v>7802.69</v>
      </c>
      <c r="J198" s="18"/>
      <c r="K198" s="18">
        <v>1072</v>
      </c>
      <c r="L198" s="19">
        <f>SUM(F198:K198)</f>
        <v>2036665.63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46374+28816.75+2000</f>
        <v>77190.75</v>
      </c>
      <c r="G200" s="18">
        <v>15148.87</v>
      </c>
      <c r="H200" s="18">
        <f>5947.99+25000</f>
        <v>30947.989999999998</v>
      </c>
      <c r="I200" s="18">
        <v>15424.9</v>
      </c>
      <c r="J200" s="18"/>
      <c r="K200" s="18"/>
      <c r="L200" s="19">
        <f>SUM(F200:K200)</f>
        <v>138712.50999999998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(309631+47315.7)+(199182+16443.58)+(149910+196280+20763+134294)</f>
        <v>1073819.28</v>
      </c>
      <c r="G202" s="18">
        <v>435391.03</v>
      </c>
      <c r="H202" s="18">
        <f>(203.42+233.25)+(25716.59)</f>
        <v>26153.26</v>
      </c>
      <c r="I202" s="18">
        <f>1663.67+(978.37+1201.73+1299.21)</f>
        <v>5142.9799999999996</v>
      </c>
      <c r="J202" s="18"/>
      <c r="K202" s="18"/>
      <c r="L202" s="19">
        <f t="shared" ref="L202:L208" si="0">SUM(F202:K202)</f>
        <v>1540506.55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9435.29+180177+25500+(166242.2+36046.5+1890)+(57219.85+27081)</f>
        <v>503591.83999999997</v>
      </c>
      <c r="G203" s="18">
        <f>3220+4742+5278+204186.47</f>
        <v>217426.47</v>
      </c>
      <c r="H203" s="18">
        <f>(9507.69-3220)+(5561.31-4742)+(12031.83-5278)+437.5+(248.26+76.21)+(4438.83+2700+3874.28)+(32715.28+880.18)</f>
        <v>59231.37</v>
      </c>
      <c r="I203" s="18">
        <f>(10890.9+20246.25+13701.1)+(422.08+585.9+5711.53)+(598.46+1474.16+5725.03)+(796.97+1212.95+11925.63)+8369.99+(7981.8+7975.9+44021.45+29950.19)</f>
        <v>171590.29</v>
      </c>
      <c r="J203" s="18">
        <f>41521.1+192415.43</f>
        <v>233936.53</v>
      </c>
      <c r="K203" s="18">
        <v>985</v>
      </c>
      <c r="L203" s="19">
        <f t="shared" si="0"/>
        <v>1186761.5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23545+312690.82</f>
        <v>336235.82</v>
      </c>
      <c r="G204" s="18">
        <v>136330.26</v>
      </c>
      <c r="H204" s="18">
        <f>(4190+16063.5+3575.9+2325.95)+(3727.12+101.25+2594+1920+5455.52+2129.3)</f>
        <v>42082.54</v>
      </c>
      <c r="I204" s="18">
        <f>3430.65+(6071.64+455.25+2196.12+9633.9+16280.97)</f>
        <v>38068.53</v>
      </c>
      <c r="J204" s="18"/>
      <c r="K204" s="18">
        <f>(6483.83+386.13)+(3244.63+2755.8)</f>
        <v>12870.39</v>
      </c>
      <c r="L204" s="19">
        <f t="shared" si="0"/>
        <v>565587.54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433326+207002.2</f>
        <v>640328.19999999995</v>
      </c>
      <c r="G205" s="18">
        <f>9000+259627.63</f>
        <v>268627.63</v>
      </c>
      <c r="H205" s="18">
        <f>(516.11+3978.14+1026.2)+(419+4941.07)+(235+5721.33+1600)</f>
        <v>18436.849999999999</v>
      </c>
      <c r="I205" s="18">
        <f>4483.72+4371.42+5346.7</f>
        <v>14201.84</v>
      </c>
      <c r="J205" s="18"/>
      <c r="K205" s="18">
        <f>750+1265+1016.5</f>
        <v>3031.5</v>
      </c>
      <c r="L205" s="19">
        <f t="shared" si="0"/>
        <v>944626.0199999999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165873.94+197922.48+194616.35</f>
        <v>558412.77</v>
      </c>
      <c r="G207" s="18">
        <v>226414.18</v>
      </c>
      <c r="H207" s="18">
        <f>(7118.55+992+6590.2+62940.75+15650)+(7117.31+8547.21+91244.46+15650)+(4055.11+7214.25+81687.47+15651)+91550.19+3987.55</f>
        <v>419996.05</v>
      </c>
      <c r="I207" s="18">
        <f>(20157.53+41338.56+55845.6)+(19672.58+55152+61122.87)+(17049.91+52825.6+73429.19)</f>
        <v>396593.84</v>
      </c>
      <c r="J207" s="18">
        <f>(3099.99+3258.2)+(8163.99+720.03)+(5898.3+996)</f>
        <v>22136.51</v>
      </c>
      <c r="K207" s="18">
        <f>52+52+54.21</f>
        <v>158.21</v>
      </c>
      <c r="L207" s="19">
        <f t="shared" si="0"/>
        <v>1623711.56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731441.5</v>
      </c>
      <c r="I208" s="18"/>
      <c r="J208" s="18"/>
      <c r="K208" s="18"/>
      <c r="L208" s="19">
        <f t="shared" si="0"/>
        <v>731441.5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10657353.069999998</v>
      </c>
      <c r="G211" s="41">
        <f t="shared" si="1"/>
        <v>4327224.09</v>
      </c>
      <c r="H211" s="41">
        <f t="shared" si="1"/>
        <v>1552346.6199999999</v>
      </c>
      <c r="I211" s="41">
        <f t="shared" si="1"/>
        <v>774366.09000000008</v>
      </c>
      <c r="J211" s="41">
        <f t="shared" si="1"/>
        <v>259378.71000000002</v>
      </c>
      <c r="K211" s="41">
        <f t="shared" si="1"/>
        <v>18117.099999999999</v>
      </c>
      <c r="L211" s="41">
        <f t="shared" si="1"/>
        <v>17588785.68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>
        <v>12900</v>
      </c>
      <c r="G250" s="18">
        <v>987</v>
      </c>
      <c r="H250" s="18"/>
      <c r="I250" s="18">
        <f>8253.91+4943.28</f>
        <v>13197.189999999999</v>
      </c>
      <c r="J250" s="18"/>
      <c r="K250" s="18">
        <v>15415.81</v>
      </c>
      <c r="L250" s="19">
        <f t="shared" ref="L250:L255" si="6">SUM(F250:K250)</f>
        <v>42500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1900</v>
      </c>
      <c r="G253" s="18">
        <f>145.35+204.63</f>
        <v>349.98</v>
      </c>
      <c r="H253" s="18">
        <f>2585+26000</f>
        <v>28585</v>
      </c>
      <c r="I253" s="18"/>
      <c r="J253" s="18">
        <v>8456.41</v>
      </c>
      <c r="K253" s="18"/>
      <c r="L253" s="19">
        <f t="shared" si="6"/>
        <v>39291.39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200032.87</v>
      </c>
      <c r="I255" s="18"/>
      <c r="J255" s="18"/>
      <c r="K255" s="18"/>
      <c r="L255" s="19">
        <f t="shared" si="6"/>
        <v>200032.87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14800</v>
      </c>
      <c r="G256" s="41">
        <f t="shared" si="7"/>
        <v>1336.98</v>
      </c>
      <c r="H256" s="41">
        <f t="shared" si="7"/>
        <v>228617.87</v>
      </c>
      <c r="I256" s="41">
        <f t="shared" si="7"/>
        <v>13197.189999999999</v>
      </c>
      <c r="J256" s="41">
        <f t="shared" si="7"/>
        <v>8456.41</v>
      </c>
      <c r="K256" s="41">
        <f t="shared" si="7"/>
        <v>15415.81</v>
      </c>
      <c r="L256" s="41">
        <f>SUM(F256:K256)</f>
        <v>281824.26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10672153.069999998</v>
      </c>
      <c r="G257" s="41">
        <f t="shared" si="8"/>
        <v>4328561.07</v>
      </c>
      <c r="H257" s="41">
        <f t="shared" si="8"/>
        <v>1780964.4899999998</v>
      </c>
      <c r="I257" s="41">
        <f t="shared" si="8"/>
        <v>787563.28</v>
      </c>
      <c r="J257" s="41">
        <f t="shared" si="8"/>
        <v>267835.12</v>
      </c>
      <c r="K257" s="41">
        <f t="shared" si="8"/>
        <v>33532.909999999996</v>
      </c>
      <c r="L257" s="41">
        <f t="shared" si="8"/>
        <v>17870609.940000001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400000</v>
      </c>
      <c r="L260" s="19">
        <f>SUM(F260:K260)</f>
        <v>400000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72562.5</v>
      </c>
      <c r="L261" s="19">
        <f>SUM(F261:K261)</f>
        <v>72562.5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472562.5</v>
      </c>
      <c r="L270" s="41">
        <f t="shared" si="9"/>
        <v>472562.5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10672153.069999998</v>
      </c>
      <c r="G271" s="42">
        <f t="shared" si="11"/>
        <v>4328561.07</v>
      </c>
      <c r="H271" s="42">
        <f t="shared" si="11"/>
        <v>1780964.4899999998</v>
      </c>
      <c r="I271" s="42">
        <f t="shared" si="11"/>
        <v>787563.28</v>
      </c>
      <c r="J271" s="42">
        <f t="shared" si="11"/>
        <v>267835.12</v>
      </c>
      <c r="K271" s="42">
        <f t="shared" si="11"/>
        <v>506095.41</v>
      </c>
      <c r="L271" s="42">
        <f t="shared" si="11"/>
        <v>18343172.440000001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(62453.05+12533.39+39643.38+3243.69+5000)</f>
        <v>122873.51000000001</v>
      </c>
      <c r="G276" s="18">
        <f>(83.91+169.92)+(5315.91+3032.76+369.55+248.1+41.42+8843.36)</f>
        <v>18104.93</v>
      </c>
      <c r="H276" s="18">
        <v>3575</v>
      </c>
      <c r="I276" s="18">
        <f>(2047.5+18.53)</f>
        <v>2066.0300000000002</v>
      </c>
      <c r="J276" s="18"/>
      <c r="K276" s="18"/>
      <c r="L276" s="19">
        <f>SUM(F276:K276)</f>
        <v>146619.47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(2923.64+750)+(123094.09+1219.5+150)+8018.64</f>
        <v>136155.87</v>
      </c>
      <c r="G277" s="18">
        <f>(57.38+221.63+250.46)+(9416.69+11.48+93.3)+613.43</f>
        <v>10664.369999999999</v>
      </c>
      <c r="H277" s="18">
        <f>(210+150+2180)+(36000+4194+51675+2762.5+1758+3000)</f>
        <v>101929.5</v>
      </c>
      <c r="I277" s="18">
        <f>(201.54+250.43+2219.39)+(610.15+268.95+36.87+600)+(160+15429.57+4107.92+37.49+60+75)+1161.82</f>
        <v>25219.129999999997</v>
      </c>
      <c r="J277" s="18"/>
      <c r="K277" s="18">
        <v>778.36</v>
      </c>
      <c r="L277" s="19">
        <f>SUM(F277:K277)</f>
        <v>274747.23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798+(3100+2700+3200)+(3300+1500)</f>
        <v>14598</v>
      </c>
      <c r="G282" s="18">
        <v>0</v>
      </c>
      <c r="H282" s="18">
        <f>1950+(453.02+600.6+255.36)+(1060+595+229)+(2375+1380.35)+(600+50+339.62+100+229+290+1095)+(3150+7350+1767+8775+3350+296.98+9000+1845+3438+3044.44+218.4+380.12+1383.8)</f>
        <v>55600.69</v>
      </c>
      <c r="I282" s="18">
        <f>561.21+(181.32+1311.01)+(790.86+722.8+2163.09+70)+861.88+299.25</f>
        <v>6961.42</v>
      </c>
      <c r="J282" s="18"/>
      <c r="K282" s="18">
        <f>50+495</f>
        <v>545</v>
      </c>
      <c r="L282" s="19">
        <f t="shared" si="12"/>
        <v>77705.11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137.5</v>
      </c>
      <c r="G283" s="18">
        <v>10.52</v>
      </c>
      <c r="H283" s="18">
        <v>1650</v>
      </c>
      <c r="I283" s="18"/>
      <c r="J283" s="18"/>
      <c r="K283" s="18"/>
      <c r="L283" s="19">
        <f t="shared" si="12"/>
        <v>1798.02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f>(900+1000+2200)</f>
        <v>4100</v>
      </c>
      <c r="G284" s="18">
        <f>(68.86+73.56+168.3-41.42)</f>
        <v>269.3</v>
      </c>
      <c r="H284" s="18"/>
      <c r="I284" s="18">
        <v>15.58</v>
      </c>
      <c r="J284" s="18"/>
      <c r="K284" s="18"/>
      <c r="L284" s="19">
        <f t="shared" si="12"/>
        <v>4384.88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f>250+500</f>
        <v>750</v>
      </c>
      <c r="I287" s="18"/>
      <c r="J287" s="18"/>
      <c r="K287" s="18"/>
      <c r="L287" s="19">
        <f t="shared" si="12"/>
        <v>750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277864.88</v>
      </c>
      <c r="G290" s="42">
        <f t="shared" si="13"/>
        <v>29049.119999999999</v>
      </c>
      <c r="H290" s="42">
        <f t="shared" si="13"/>
        <v>163505.19</v>
      </c>
      <c r="I290" s="42">
        <f t="shared" si="13"/>
        <v>34262.159999999996</v>
      </c>
      <c r="J290" s="42">
        <f t="shared" si="13"/>
        <v>0</v>
      </c>
      <c r="K290" s="42">
        <f t="shared" si="13"/>
        <v>1323.3600000000001</v>
      </c>
      <c r="L290" s="41">
        <f t="shared" si="13"/>
        <v>506004.70999999996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277864.88</v>
      </c>
      <c r="G338" s="41">
        <f t="shared" si="20"/>
        <v>29049.119999999999</v>
      </c>
      <c r="H338" s="41">
        <f t="shared" si="20"/>
        <v>163505.19</v>
      </c>
      <c r="I338" s="41">
        <f t="shared" si="20"/>
        <v>34262.159999999996</v>
      </c>
      <c r="J338" s="41">
        <f t="shared" si="20"/>
        <v>0</v>
      </c>
      <c r="K338" s="41">
        <f t="shared" si="20"/>
        <v>1323.3600000000001</v>
      </c>
      <c r="L338" s="41">
        <f t="shared" si="20"/>
        <v>506004.70999999996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277864.88</v>
      </c>
      <c r="G352" s="41">
        <f>G338</f>
        <v>29049.119999999999</v>
      </c>
      <c r="H352" s="41">
        <f>H338</f>
        <v>163505.19</v>
      </c>
      <c r="I352" s="41">
        <f>I338</f>
        <v>34262.159999999996</v>
      </c>
      <c r="J352" s="41">
        <f>J338</f>
        <v>0</v>
      </c>
      <c r="K352" s="47">
        <f>K338+K351</f>
        <v>1323.3600000000001</v>
      </c>
      <c r="L352" s="41">
        <f>L338+L351</f>
        <v>506004.70999999996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56642+135620.81+5879.31</f>
        <v>198142.12</v>
      </c>
      <c r="G358" s="18"/>
      <c r="H358" s="18">
        <f>9782.49+5124.66</f>
        <v>14907.15</v>
      </c>
      <c r="I358" s="18">
        <f>1000+11799.14+205098.11</f>
        <v>217897.25</v>
      </c>
      <c r="J358" s="18">
        <v>517.67999999999995</v>
      </c>
      <c r="K358" s="18">
        <v>2385.19</v>
      </c>
      <c r="L358" s="13">
        <f>SUM(F358:K358)</f>
        <v>433849.39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198142.12</v>
      </c>
      <c r="G362" s="47">
        <f t="shared" si="22"/>
        <v>0</v>
      </c>
      <c r="H362" s="47">
        <f t="shared" si="22"/>
        <v>14907.15</v>
      </c>
      <c r="I362" s="47">
        <f t="shared" si="22"/>
        <v>217897.25</v>
      </c>
      <c r="J362" s="47">
        <f t="shared" si="22"/>
        <v>517.67999999999995</v>
      </c>
      <c r="K362" s="47">
        <f t="shared" si="22"/>
        <v>2385.19</v>
      </c>
      <c r="L362" s="47">
        <f t="shared" si="22"/>
        <v>433849.39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205098.11</v>
      </c>
      <c r="G367" s="18"/>
      <c r="H367" s="18"/>
      <c r="I367" s="56">
        <f>SUM(F367:H367)</f>
        <v>205098.11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1000+11799.14</f>
        <v>12799.14</v>
      </c>
      <c r="G368" s="63"/>
      <c r="H368" s="63"/>
      <c r="I368" s="56">
        <f>SUM(F368:H368)</f>
        <v>12799.14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217897.25</v>
      </c>
      <c r="G369" s="47">
        <f>SUM(G367:G368)</f>
        <v>0</v>
      </c>
      <c r="H369" s="47">
        <f>SUM(H367:H368)</f>
        <v>0</v>
      </c>
      <c r="I369" s="47">
        <f>SUM(I367:I368)</f>
        <v>217897.25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3490.35</v>
      </c>
      <c r="I397" s="18">
        <v>1169.17</v>
      </c>
      <c r="J397" s="24" t="s">
        <v>289</v>
      </c>
      <c r="K397" s="24" t="s">
        <v>289</v>
      </c>
      <c r="L397" s="56">
        <f t="shared" si="26"/>
        <v>4659.5200000000004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 t="s">
        <v>287</v>
      </c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3490.35</v>
      </c>
      <c r="I401" s="47">
        <f>SUM(I395:I400)</f>
        <v>1169.17</v>
      </c>
      <c r="J401" s="45" t="s">
        <v>289</v>
      </c>
      <c r="K401" s="45" t="s">
        <v>289</v>
      </c>
      <c r="L401" s="47">
        <f>SUM(L395:L400)</f>
        <v>4659.5200000000004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3490.35</v>
      </c>
      <c r="I408" s="47">
        <f>I393+I401+I407</f>
        <v>1169.17</v>
      </c>
      <c r="J408" s="24" t="s">
        <v>289</v>
      </c>
      <c r="K408" s="24" t="s">
        <v>289</v>
      </c>
      <c r="L408" s="47">
        <f>L393+L401+L407</f>
        <v>4659.5200000000004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f>200943.06+14412.87</f>
        <v>215355.93</v>
      </c>
      <c r="H440" s="18"/>
      <c r="I440" s="56">
        <f t="shared" si="33"/>
        <v>215355.93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215355.93</v>
      </c>
      <c r="H446" s="13">
        <f>SUM(H439:H445)</f>
        <v>0</v>
      </c>
      <c r="I446" s="13">
        <f>SUM(I439:I445)</f>
        <v>215355.93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215355.93</v>
      </c>
      <c r="H459" s="18"/>
      <c r="I459" s="56">
        <f t="shared" si="34"/>
        <v>215355.93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215355.93</v>
      </c>
      <c r="H460" s="83">
        <f>SUM(H454:H459)</f>
        <v>0</v>
      </c>
      <c r="I460" s="83">
        <f>SUM(I454:I459)</f>
        <v>215355.93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215355.93</v>
      </c>
      <c r="H461" s="42">
        <f>H452+H460</f>
        <v>0</v>
      </c>
      <c r="I461" s="42">
        <f>I452+I460</f>
        <v>215355.93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f>279209.71+59145.86</f>
        <v>338355.57</v>
      </c>
      <c r="G465" s="18">
        <v>670.49</v>
      </c>
      <c r="H465" s="18">
        <v>0</v>
      </c>
      <c r="I465" s="18">
        <v>0</v>
      </c>
      <c r="J465" s="18">
        <v>210696.41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18571454.04+11041.41+(26000+1900+145.35+204.63)</f>
        <v>18610745.43</v>
      </c>
      <c r="G468" s="18">
        <v>452373.72</v>
      </c>
      <c r="H468" s="18">
        <v>506004.71</v>
      </c>
      <c r="I468" s="18"/>
      <c r="J468" s="18">
        <v>4659.5200000000004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18610745.43</v>
      </c>
      <c r="G470" s="53">
        <f>SUM(G468:G469)</f>
        <v>452373.72</v>
      </c>
      <c r="H470" s="53">
        <f>SUM(H468:H469)</f>
        <v>506004.71</v>
      </c>
      <c r="I470" s="53">
        <f>SUM(I468:I469)</f>
        <v>0</v>
      </c>
      <c r="J470" s="53">
        <f>SUM(J468:J469)</f>
        <v>4659.5200000000004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18343172.440000001</v>
      </c>
      <c r="G472" s="18">
        <v>433849.39</v>
      </c>
      <c r="H472" s="18">
        <v>506004.71</v>
      </c>
      <c r="I472" s="18"/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18343172.440000001</v>
      </c>
      <c r="G474" s="53">
        <f>SUM(G472:G473)</f>
        <v>433849.39</v>
      </c>
      <c r="H474" s="53">
        <f>SUM(H472:H473)</f>
        <v>506004.71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605928.55999999866</v>
      </c>
      <c r="G476" s="53">
        <f>(G465+G470)- G474</f>
        <v>19194.819999999949</v>
      </c>
      <c r="H476" s="53">
        <f>(H465+H470)- H474</f>
        <v>0</v>
      </c>
      <c r="I476" s="53">
        <f>(I465+I470)- I474</f>
        <v>0</v>
      </c>
      <c r="J476" s="53">
        <f>(J465+J470)- J474</f>
        <v>215355.93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20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914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915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3970000</v>
      </c>
      <c r="G493" s="18">
        <v>1770000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5.71</v>
      </c>
      <c r="G494" s="18">
        <v>4.91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920000</v>
      </c>
      <c r="G495" s="18">
        <v>615000</v>
      </c>
      <c r="H495" s="18"/>
      <c r="I495" s="18"/>
      <c r="J495" s="18"/>
      <c r="K495" s="53">
        <f>SUM(F495:J495)</f>
        <v>1535000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290000</v>
      </c>
      <c r="G497" s="18">
        <v>110000</v>
      </c>
      <c r="H497" s="18"/>
      <c r="I497" s="18"/>
      <c r="J497" s="18"/>
      <c r="K497" s="53">
        <f t="shared" si="35"/>
        <v>400000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630000</v>
      </c>
      <c r="G498" s="204">
        <f>G495-G497</f>
        <v>505000</v>
      </c>
      <c r="H498" s="204"/>
      <c r="I498" s="204"/>
      <c r="J498" s="204"/>
      <c r="K498" s="205">
        <f t="shared" si="35"/>
        <v>1135000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18112.5+9343.75+9343.75</f>
        <v>36800</v>
      </c>
      <c r="G499" s="18">
        <f>12625+(9750*2)+(6625*2)+(3375*2)</f>
        <v>52125</v>
      </c>
      <c r="H499" s="18"/>
      <c r="I499" s="18"/>
      <c r="J499" s="18"/>
      <c r="K499" s="53">
        <f t="shared" si="35"/>
        <v>88925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666800</v>
      </c>
      <c r="G500" s="42">
        <f>SUM(G498:G499)</f>
        <v>557125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1223925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305000</v>
      </c>
      <c r="G501" s="204">
        <v>115000</v>
      </c>
      <c r="H501" s="204"/>
      <c r="I501" s="204"/>
      <c r="J501" s="204"/>
      <c r="K501" s="205">
        <f t="shared" si="35"/>
        <v>420000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18112.5+9343.75</f>
        <v>27456.25</v>
      </c>
      <c r="G502" s="18">
        <f>12625+9750</f>
        <v>22375</v>
      </c>
      <c r="H502" s="18"/>
      <c r="I502" s="18"/>
      <c r="J502" s="18"/>
      <c r="K502" s="53">
        <f t="shared" si="35"/>
        <v>49831.25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332456.25</v>
      </c>
      <c r="G503" s="42">
        <f>SUM(G501:G502)</f>
        <v>137375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469831.25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1311223.55+136155.87-155630.5</f>
        <v>1291748.92</v>
      </c>
      <c r="G521" s="18">
        <f>531649.02+10664.37-63101.98</f>
        <v>479211.41000000003</v>
      </c>
      <c r="H521" s="18">
        <f>184918.37+101929.5-580.56-3746.98</f>
        <v>282520.33</v>
      </c>
      <c r="I521" s="18">
        <f>7802.69+25219.13</f>
        <v>33021.82</v>
      </c>
      <c r="J521" s="18"/>
      <c r="K521" s="18">
        <v>778.36</v>
      </c>
      <c r="L521" s="88">
        <f>SUM(F521:K521)</f>
        <v>2087280.8400000003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1291748.92</v>
      </c>
      <c r="G524" s="108">
        <f t="shared" ref="G524:L524" si="36">SUM(G521:G523)</f>
        <v>479211.41000000003</v>
      </c>
      <c r="H524" s="108">
        <f t="shared" si="36"/>
        <v>282520.33</v>
      </c>
      <c r="I524" s="108">
        <f t="shared" si="36"/>
        <v>33021.82</v>
      </c>
      <c r="J524" s="108">
        <f t="shared" si="36"/>
        <v>0</v>
      </c>
      <c r="K524" s="108">
        <f t="shared" si="36"/>
        <v>778.36</v>
      </c>
      <c r="L524" s="89">
        <f t="shared" si="36"/>
        <v>2087280.8400000003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149910+196280+20763+134294</f>
        <v>501247</v>
      </c>
      <c r="G526" s="18">
        <v>203235.73</v>
      </c>
      <c r="H526" s="18">
        <v>25716.59</v>
      </c>
      <c r="I526" s="18"/>
      <c r="J526" s="18"/>
      <c r="K526" s="18"/>
      <c r="L526" s="88">
        <f>SUM(F526:K526)</f>
        <v>730199.32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501247</v>
      </c>
      <c r="G529" s="89">
        <f t="shared" ref="G529:L529" si="37">SUM(G526:G528)</f>
        <v>203235.73</v>
      </c>
      <c r="H529" s="89">
        <f t="shared" si="37"/>
        <v>25716.59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730199.32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82948+72682.5</f>
        <v>155630.5</v>
      </c>
      <c r="G531" s="18">
        <v>63101.98</v>
      </c>
      <c r="H531" s="18">
        <f>215.64+900+2631.34</f>
        <v>3746.98</v>
      </c>
      <c r="I531" s="18"/>
      <c r="J531" s="18"/>
      <c r="K531" s="18">
        <v>1072</v>
      </c>
      <c r="L531" s="88">
        <f>SUM(F531:K531)</f>
        <v>223551.46000000002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155630.5</v>
      </c>
      <c r="G534" s="89">
        <f t="shared" ref="G534:L534" si="38">SUM(G531:G533)</f>
        <v>63101.98</v>
      </c>
      <c r="H534" s="89">
        <f t="shared" si="38"/>
        <v>3746.98</v>
      </c>
      <c r="I534" s="89">
        <f t="shared" si="38"/>
        <v>0</v>
      </c>
      <c r="J534" s="89">
        <f t="shared" si="38"/>
        <v>0</v>
      </c>
      <c r="K534" s="89">
        <f t="shared" si="38"/>
        <v>1072</v>
      </c>
      <c r="L534" s="89">
        <f t="shared" si="38"/>
        <v>223551.46000000002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580.55999999999995</v>
      </c>
      <c r="I536" s="18"/>
      <c r="J536" s="18"/>
      <c r="K536" s="18"/>
      <c r="L536" s="88">
        <f>SUM(F536:K536)</f>
        <v>580.55999999999995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580.55999999999995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580.55999999999995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104030.84</v>
      </c>
      <c r="I541" s="18"/>
      <c r="J541" s="18"/>
      <c r="K541" s="18"/>
      <c r="L541" s="88">
        <f>SUM(F541:K541)</f>
        <v>104030.84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104030.84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104030.84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1948626.42</v>
      </c>
      <c r="G545" s="89">
        <f t="shared" ref="G545:L545" si="41">G524+G529+G534+G539+G544</f>
        <v>745549.12</v>
      </c>
      <c r="H545" s="89">
        <f t="shared" si="41"/>
        <v>416595.30000000005</v>
      </c>
      <c r="I545" s="89">
        <f t="shared" si="41"/>
        <v>33021.82</v>
      </c>
      <c r="J545" s="89">
        <f t="shared" si="41"/>
        <v>0</v>
      </c>
      <c r="K545" s="89">
        <f t="shared" si="41"/>
        <v>1850.3600000000001</v>
      </c>
      <c r="L545" s="89">
        <f t="shared" si="41"/>
        <v>3145643.02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2087280.8400000003</v>
      </c>
      <c r="G549" s="87">
        <f>L526</f>
        <v>730199.32</v>
      </c>
      <c r="H549" s="87">
        <f>L531</f>
        <v>223551.46000000002</v>
      </c>
      <c r="I549" s="87">
        <f>L536</f>
        <v>580.55999999999995</v>
      </c>
      <c r="J549" s="87">
        <f>L541</f>
        <v>104030.84</v>
      </c>
      <c r="K549" s="87">
        <f>SUM(F549:J549)</f>
        <v>3145643.02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2087280.8400000003</v>
      </c>
      <c r="G552" s="89">
        <f t="shared" si="42"/>
        <v>730199.32</v>
      </c>
      <c r="H552" s="89">
        <f t="shared" si="42"/>
        <v>223551.46000000002</v>
      </c>
      <c r="I552" s="89">
        <f t="shared" si="42"/>
        <v>580.55999999999995</v>
      </c>
      <c r="J552" s="89">
        <f t="shared" si="42"/>
        <v>104030.84</v>
      </c>
      <c r="K552" s="89">
        <f t="shared" si="42"/>
        <v>3145643.02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f>18969+18970+18970</f>
        <v>56909</v>
      </c>
      <c r="G562" s="18">
        <f>4353.54+8064.01+239.02+119+198+458.58+16485.56</f>
        <v>29917.71</v>
      </c>
      <c r="H562" s="18"/>
      <c r="I562" s="18"/>
      <c r="J562" s="18"/>
      <c r="K562" s="18"/>
      <c r="L562" s="88">
        <f>SUM(F562:K562)</f>
        <v>86826.709999999992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56909</v>
      </c>
      <c r="G565" s="89">
        <f t="shared" si="44"/>
        <v>29917.71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86826.709999999992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56909</v>
      </c>
      <c r="G571" s="89">
        <f t="shared" ref="G571:L571" si="46">G560+G565+G570</f>
        <v>29917.71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86826.709999999992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f>10660.46+26288.67</f>
        <v>36949.129999999997</v>
      </c>
      <c r="G579" s="18"/>
      <c r="H579" s="18"/>
      <c r="I579" s="87">
        <f t="shared" si="47"/>
        <v>36949.129999999997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46403+2384.91</f>
        <v>48787.91</v>
      </c>
      <c r="G582" s="18"/>
      <c r="H582" s="18"/>
      <c r="I582" s="87">
        <f t="shared" si="47"/>
        <v>48787.91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563609.68000000005</v>
      </c>
      <c r="I591" s="18"/>
      <c r="J591" s="18"/>
      <c r="K591" s="104">
        <f t="shared" ref="K591:K597" si="48">SUM(H591:J591)</f>
        <v>563609.68000000005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104030.84</v>
      </c>
      <c r="I592" s="18"/>
      <c r="J592" s="18"/>
      <c r="K592" s="104">
        <f t="shared" si="48"/>
        <v>104030.84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7996.23</v>
      </c>
      <c r="I594" s="18"/>
      <c r="J594" s="18"/>
      <c r="K594" s="104">
        <f t="shared" si="48"/>
        <v>7996.23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6323.23</v>
      </c>
      <c r="I595" s="18"/>
      <c r="J595" s="18"/>
      <c r="K595" s="104">
        <f t="shared" si="48"/>
        <v>6323.23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49481.52</v>
      </c>
      <c r="I597" s="18"/>
      <c r="J597" s="18"/>
      <c r="K597" s="104">
        <f t="shared" si="48"/>
        <v>49481.52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731441.5</v>
      </c>
      <c r="I598" s="108">
        <f>SUM(I591:I597)</f>
        <v>0</v>
      </c>
      <c r="J598" s="108">
        <f>SUM(J591:J597)</f>
        <v>0</v>
      </c>
      <c r="K598" s="108">
        <f>SUM(K591:K597)</f>
        <v>731441.5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259378.71+8456.41</f>
        <v>267835.12</v>
      </c>
      <c r="I604" s="18"/>
      <c r="J604" s="18"/>
      <c r="K604" s="104">
        <f>SUM(H604:J604)</f>
        <v>267835.12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267835.12</v>
      </c>
      <c r="I605" s="108">
        <f>SUM(I602:I604)</f>
        <v>0</v>
      </c>
      <c r="J605" s="108">
        <f>SUM(J602:J604)</f>
        <v>0</v>
      </c>
      <c r="K605" s="108">
        <f>SUM(K602:K604)</f>
        <v>267835.12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2000</v>
      </c>
      <c r="G611" s="18"/>
      <c r="H611" s="18"/>
      <c r="I611" s="18"/>
      <c r="J611" s="18"/>
      <c r="K611" s="18"/>
      <c r="L611" s="88">
        <f>SUM(F611:K611)</f>
        <v>2000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2000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2000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760737.63</v>
      </c>
      <c r="H617" s="109">
        <f>SUM(F52)</f>
        <v>760737.63000000012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19194.82</v>
      </c>
      <c r="H618" s="109">
        <f>SUM(G52)</f>
        <v>19194.82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103465.26</v>
      </c>
      <c r="H619" s="109">
        <f>SUM(H52)</f>
        <v>103465.26000000001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215355.93</v>
      </c>
      <c r="H621" s="109">
        <f>SUM(J52)</f>
        <v>215355.93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605928.56000000006</v>
      </c>
      <c r="H622" s="109">
        <f>F476</f>
        <v>605928.55999999866</v>
      </c>
      <c r="I622" s="121" t="s">
        <v>101</v>
      </c>
      <c r="J622" s="109">
        <f t="shared" ref="J622:J655" si="50">G622-H622</f>
        <v>1.3969838619232178E-9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19194.82</v>
      </c>
      <c r="H623" s="109">
        <f>G476</f>
        <v>19194.819999999949</v>
      </c>
      <c r="I623" s="121" t="s">
        <v>102</v>
      </c>
      <c r="J623" s="109">
        <f t="shared" si="50"/>
        <v>5.0931703299283981E-11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215355.93</v>
      </c>
      <c r="H626" s="109">
        <f>J476</f>
        <v>215355.93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18610745.43</v>
      </c>
      <c r="H627" s="104">
        <f>SUM(F468)</f>
        <v>18610745.43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452373.72</v>
      </c>
      <c r="H628" s="104">
        <f>SUM(G468)</f>
        <v>452373.72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506004.70999999996</v>
      </c>
      <c r="H629" s="104">
        <f>SUM(H468)</f>
        <v>506004.71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4659.5200000000004</v>
      </c>
      <c r="H631" s="104">
        <f>SUM(J468)</f>
        <v>4659.5200000000004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18343172.440000001</v>
      </c>
      <c r="H632" s="104">
        <f>SUM(F472)</f>
        <v>18343172.440000001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506004.70999999996</v>
      </c>
      <c r="H633" s="104">
        <f>SUM(H472)</f>
        <v>506004.71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217897.25</v>
      </c>
      <c r="H634" s="104">
        <f>I369</f>
        <v>217897.25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433849.39</v>
      </c>
      <c r="H635" s="104">
        <f>SUM(G472)</f>
        <v>433849.39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4659.5200000000004</v>
      </c>
      <c r="H637" s="164">
        <f>SUM(J468)</f>
        <v>4659.5200000000004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215355.93</v>
      </c>
      <c r="H640" s="104">
        <f>SUM(G461)</f>
        <v>215355.93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215355.93</v>
      </c>
      <c r="H642" s="104">
        <f>SUM(I461)</f>
        <v>215355.93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3490.35</v>
      </c>
      <c r="H644" s="104">
        <f>H408</f>
        <v>3490.35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4659.5200000000004</v>
      </c>
      <c r="H646" s="104">
        <f>L408</f>
        <v>4659.5200000000004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731441.5</v>
      </c>
      <c r="H647" s="104">
        <f>L208+L226+L244</f>
        <v>731441.5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267835.12</v>
      </c>
      <c r="H648" s="104">
        <f>(J257+J338)-(J255+J336)</f>
        <v>267835.12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731441.5</v>
      </c>
      <c r="H649" s="104">
        <f>H598</f>
        <v>731441.5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18528639.780000001</v>
      </c>
      <c r="G660" s="19">
        <f>(L229+L309+L359)</f>
        <v>0</v>
      </c>
      <c r="H660" s="19">
        <f>(L247+L328+L360)</f>
        <v>0</v>
      </c>
      <c r="I660" s="19">
        <f>SUM(F660:H660)</f>
        <v>18528639.780000001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288209.87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288209.87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732191.5</v>
      </c>
      <c r="G662" s="19">
        <f>(L226+L306)-(J226+J306)</f>
        <v>0</v>
      </c>
      <c r="H662" s="19">
        <f>(L244+L325)-(J244+J325)</f>
        <v>0</v>
      </c>
      <c r="I662" s="19">
        <f>SUM(F662:H662)</f>
        <v>732191.5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355572.16000000003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355572.16000000003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17152666.25</v>
      </c>
      <c r="G664" s="19">
        <f>G660-SUM(G661:G663)</f>
        <v>0</v>
      </c>
      <c r="H664" s="19">
        <f>H660-SUM(H661:H663)</f>
        <v>0</v>
      </c>
      <c r="I664" s="19">
        <f>I660-SUM(I661:I663)</f>
        <v>17152666.25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1127.53</v>
      </c>
      <c r="G665" s="248"/>
      <c r="H665" s="248"/>
      <c r="I665" s="19">
        <f>SUM(F665:H665)</f>
        <v>1127.53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15212.6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15212.6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15212.6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15212.6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orizontalCentered="1" gridLines="1" gridLinesSet="0"/>
  <pageMargins left="0.3" right="0.3" top="0.75" bottom="0.5" header="0.5" footer="0.5"/>
  <pageSetup scale="75" fitToHeight="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  <extLst>
    <ext xmlns:mx="http://schemas.microsoft.com/office/mac/excel/2008/main" uri="{64002731-A6B0-56B0-2670-7721B7C09600}">
      <mx:PLV Mode="0" OnePage="0" WScale="75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zoomScale="150" zoomScaleNormal="150" zoomScalePageLayoutView="150" workbookViewId="0">
      <selection activeCell="C38" sqref="C38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3" t="s">
        <v>785</v>
      </c>
      <c r="B1" s="232" t="str">
        <f>'DOE25'!A2</f>
        <v>Hampton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6279424.3700000001</v>
      </c>
      <c r="C9" s="229">
        <f>'DOE25'!G197+'DOE25'!G215+'DOE25'!G233+'DOE25'!G276+'DOE25'!G295+'DOE25'!G314</f>
        <v>2514341.56</v>
      </c>
    </row>
    <row r="10" spans="1:3" x14ac:dyDescent="0.2">
      <c r="A10" t="s">
        <v>779</v>
      </c>
      <c r="B10" s="240">
        <f>1830555.64+1836521.72+2197002.96+62453.05</f>
        <v>5926533.3700000001</v>
      </c>
      <c r="C10" s="240">
        <v>2483816.48</v>
      </c>
    </row>
    <row r="11" spans="1:3" x14ac:dyDescent="0.2">
      <c r="A11" t="s">
        <v>780</v>
      </c>
      <c r="B11" s="240">
        <f>136356+14530.43+12533.39+39643.38+3243.69</f>
        <v>206306.89</v>
      </c>
      <c r="C11" s="240">
        <v>17845.55</v>
      </c>
    </row>
    <row r="12" spans="1:3" x14ac:dyDescent="0.2">
      <c r="A12" t="s">
        <v>781</v>
      </c>
      <c r="B12" s="240">
        <f>141584.11+5000</f>
        <v>146584.10999999999</v>
      </c>
      <c r="C12" s="240">
        <v>12679.53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6279424.3700000001</v>
      </c>
      <c r="C13" s="231">
        <f>SUM(C10:C12)</f>
        <v>2514341.5599999996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1447379.42</v>
      </c>
      <c r="C18" s="229">
        <f>'DOE25'!G198+'DOE25'!G216+'DOE25'!G234+'DOE25'!G277+'DOE25'!G296+'DOE25'!G315</f>
        <v>542313.39</v>
      </c>
    </row>
    <row r="19" spans="1:3" x14ac:dyDescent="0.2">
      <c r="A19" t="s">
        <v>779</v>
      </c>
      <c r="B19" s="240">
        <v>861112.73</v>
      </c>
      <c r="C19" s="240">
        <v>432872.91</v>
      </c>
    </row>
    <row r="20" spans="1:3" x14ac:dyDescent="0.2">
      <c r="A20" t="s">
        <v>780</v>
      </c>
      <c r="B20" s="240">
        <f>285899.07+8581.25+123094.09+1219.5+8018.64</f>
        <v>426812.55000000005</v>
      </c>
      <c r="C20" s="240">
        <v>36919.29</v>
      </c>
    </row>
    <row r="21" spans="1:3" x14ac:dyDescent="0.2">
      <c r="A21" t="s">
        <v>781</v>
      </c>
      <c r="B21" s="240">
        <f>82948+72682.5+150+2923.64+750</f>
        <v>159454.14000000001</v>
      </c>
      <c r="C21" s="240">
        <f>13792.79+11753.74+8213.13+6708.03+357.57+14205.24+458.58+15979.53+458.58+198+198+198</f>
        <v>72521.19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1447379.42</v>
      </c>
      <c r="C22" s="231">
        <f>SUM(C19:C21)</f>
        <v>542313.3899999999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77190.75</v>
      </c>
      <c r="C36" s="235">
        <f>'DOE25'!G200+'DOE25'!G218+'DOE25'!G236+'DOE25'!G279+'DOE25'!G298+'DOE25'!G317</f>
        <v>15148.87</v>
      </c>
    </row>
    <row r="37" spans="1:3" x14ac:dyDescent="0.2">
      <c r="A37" t="s">
        <v>779</v>
      </c>
      <c r="B37" s="240">
        <f>46374+5002+10777.25+10025+2000</f>
        <v>74178.25</v>
      </c>
      <c r="C37" s="240">
        <v>14888.28</v>
      </c>
    </row>
    <row r="38" spans="1:3" x14ac:dyDescent="0.2">
      <c r="A38" t="s">
        <v>780</v>
      </c>
      <c r="B38" s="240">
        <f>3012.5</f>
        <v>3012.5</v>
      </c>
      <c r="C38" s="240">
        <v>260.58999999999997</v>
      </c>
    </row>
    <row r="39" spans="1:3" x14ac:dyDescent="0.2">
      <c r="A39" t="s">
        <v>781</v>
      </c>
      <c r="B39" s="240">
        <v>0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77190.75</v>
      </c>
      <c r="C40" s="231">
        <f>SUM(C37:C39)</f>
        <v>15148.87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/>
  <headerFooter alignWithMargins="0">
    <oddHeader>&amp;C&amp;A
FY2013-2014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zoomScale="125" zoomScaleNormal="125" zoomScalePageLayoutView="125" workbookViewId="0">
      <pane ySplit="4" topLeftCell="A7" activePane="bottomLeft" state="frozen"/>
      <selection activeCell="F46" sqref="F46"/>
      <selection pane="bottomLeft" activeCell="D12" sqref="D12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Hampton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10996151.01</v>
      </c>
      <c r="D5" s="20">
        <f>SUM('DOE25'!L197:L200)+SUM('DOE25'!L215:L218)+SUM('DOE25'!L233:L236)-F5-G5</f>
        <v>10991773.34</v>
      </c>
      <c r="E5" s="243"/>
      <c r="F5" s="255">
        <f>SUM('DOE25'!J197:J200)+SUM('DOE25'!J215:J218)+SUM('DOE25'!J233:J236)</f>
        <v>3305.67</v>
      </c>
      <c r="G5" s="53">
        <f>SUM('DOE25'!K197:K200)+SUM('DOE25'!K215:K218)+SUM('DOE25'!K233:K236)</f>
        <v>1072</v>
      </c>
      <c r="H5" s="259"/>
    </row>
    <row r="6" spans="1:9" x14ac:dyDescent="0.2">
      <c r="A6" s="32">
        <v>2100</v>
      </c>
      <c r="B6" t="s">
        <v>801</v>
      </c>
      <c r="C6" s="245">
        <f t="shared" si="0"/>
        <v>1540506.55</v>
      </c>
      <c r="D6" s="20">
        <f>'DOE25'!L202+'DOE25'!L220+'DOE25'!L238-F6-G6</f>
        <v>1540506.55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1186761.5</v>
      </c>
      <c r="D7" s="20">
        <f>'DOE25'!L203+'DOE25'!L221+'DOE25'!L239-F7-G7</f>
        <v>951839.97</v>
      </c>
      <c r="E7" s="243"/>
      <c r="F7" s="255">
        <f>'DOE25'!J203+'DOE25'!J221+'DOE25'!J239</f>
        <v>233936.53</v>
      </c>
      <c r="G7" s="53">
        <f>'DOE25'!K203+'DOE25'!K221+'DOE25'!K239</f>
        <v>985</v>
      </c>
      <c r="H7" s="259"/>
    </row>
    <row r="8" spans="1:9" x14ac:dyDescent="0.2">
      <c r="A8" s="32">
        <v>2300</v>
      </c>
      <c r="B8" t="s">
        <v>802</v>
      </c>
      <c r="C8" s="245">
        <f t="shared" si="0"/>
        <v>283008.15000000002</v>
      </c>
      <c r="D8" s="243"/>
      <c r="E8" s="20">
        <f>'DOE25'!L204+'DOE25'!L222+'DOE25'!L240-F8-G8-D9-D11</f>
        <v>270137.76</v>
      </c>
      <c r="F8" s="255">
        <f>'DOE25'!J204+'DOE25'!J222+'DOE25'!J240</f>
        <v>0</v>
      </c>
      <c r="G8" s="53">
        <f>'DOE25'!K204+'DOE25'!K222+'DOE25'!K240</f>
        <v>12870.39</v>
      </c>
      <c r="H8" s="259"/>
    </row>
    <row r="9" spans="1:9" x14ac:dyDescent="0.2">
      <c r="A9" s="32">
        <v>2310</v>
      </c>
      <c r="B9" t="s">
        <v>818</v>
      </c>
      <c r="C9" s="245">
        <f t="shared" si="0"/>
        <v>60000.959999999999</v>
      </c>
      <c r="D9" s="244">
        <v>60000.959999999999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16063.5</v>
      </c>
      <c r="D10" s="243"/>
      <c r="E10" s="244">
        <v>16063.5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222578.43</v>
      </c>
      <c r="D11" s="244">
        <f>120000+9180+12924+52681.2+4030.12+14205.24+7102.62+2455.25</f>
        <v>222578.43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944626.0199999999</v>
      </c>
      <c r="D12" s="20">
        <f>'DOE25'!L205+'DOE25'!L223+'DOE25'!L241-F12-G12</f>
        <v>941594.5199999999</v>
      </c>
      <c r="E12" s="243"/>
      <c r="F12" s="255">
        <f>'DOE25'!J205+'DOE25'!J223+'DOE25'!J241</f>
        <v>0</v>
      </c>
      <c r="G12" s="53">
        <f>'DOE25'!K205+'DOE25'!K223+'DOE25'!K241</f>
        <v>3031.5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1623711.56</v>
      </c>
      <c r="D14" s="20">
        <f>'DOE25'!L207+'DOE25'!L225+'DOE25'!L243-F14-G14</f>
        <v>1601416.84</v>
      </c>
      <c r="E14" s="243"/>
      <c r="F14" s="255">
        <f>'DOE25'!J207+'DOE25'!J225+'DOE25'!J243</f>
        <v>22136.51</v>
      </c>
      <c r="G14" s="53">
        <f>'DOE25'!K207+'DOE25'!K225+'DOE25'!K243</f>
        <v>158.21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731441.5</v>
      </c>
      <c r="D15" s="20">
        <f>'DOE25'!L208+'DOE25'!L226+'DOE25'!L244-F15-G15</f>
        <v>731441.5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39291.39</v>
      </c>
      <c r="D19" s="20">
        <f>'DOE25'!L253-F19-G19</f>
        <v>30834.98</v>
      </c>
      <c r="E19" s="243"/>
      <c r="F19" s="255">
        <f>'DOE25'!J253</f>
        <v>8456.41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200032.87</v>
      </c>
      <c r="D22" s="243"/>
      <c r="E22" s="243"/>
      <c r="F22" s="255">
        <f>'DOE25'!L255+'DOE25'!L336</f>
        <v>200032.87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472562.5</v>
      </c>
      <c r="D25" s="243"/>
      <c r="E25" s="243"/>
      <c r="F25" s="258"/>
      <c r="G25" s="256"/>
      <c r="H25" s="257">
        <f>'DOE25'!L260+'DOE25'!L261+'DOE25'!L341+'DOE25'!L342</f>
        <v>472562.5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228751.28000000003</v>
      </c>
      <c r="D29" s="20">
        <f>'DOE25'!L358+'DOE25'!L359+'DOE25'!L360-'DOE25'!I367-F29-G29</f>
        <v>225848.41000000003</v>
      </c>
      <c r="E29" s="243"/>
      <c r="F29" s="255">
        <f>'DOE25'!J358+'DOE25'!J359+'DOE25'!J360</f>
        <v>517.67999999999995</v>
      </c>
      <c r="G29" s="53">
        <f>'DOE25'!K358+'DOE25'!K359+'DOE25'!K360</f>
        <v>2385.19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506004.70999999996</v>
      </c>
      <c r="D31" s="20">
        <f>'DOE25'!L290+'DOE25'!L309+'DOE25'!L328+'DOE25'!L333+'DOE25'!L334+'DOE25'!L335-F31-G31</f>
        <v>504681.35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1323.3600000000001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17802516.850000001</v>
      </c>
      <c r="E33" s="246">
        <f>SUM(E5:E31)</f>
        <v>286201.26</v>
      </c>
      <c r="F33" s="246">
        <f>SUM(F5:F31)</f>
        <v>468385.67</v>
      </c>
      <c r="G33" s="246">
        <f>SUM(G5:G31)</f>
        <v>21825.649999999998</v>
      </c>
      <c r="H33" s="246">
        <f>SUM(H5:H31)</f>
        <v>472562.5</v>
      </c>
    </row>
    <row r="35" spans="2:8" ht="12" thickBot="1" x14ac:dyDescent="0.25">
      <c r="B35" s="253" t="s">
        <v>847</v>
      </c>
      <c r="D35" s="254">
        <f>E33</f>
        <v>286201.26</v>
      </c>
      <c r="E35" s="249"/>
    </row>
    <row r="36" spans="2:8" ht="12" thickTop="1" x14ac:dyDescent="0.2">
      <c r="B36" t="s">
        <v>815</v>
      </c>
      <c r="D36" s="20">
        <f>D33</f>
        <v>17802516.850000001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workbookViewId="0">
      <pane ySplit="2" topLeftCell="A45" activePane="bottomLeft" state="frozen"/>
      <selection activeCell="F46" sqref="F46"/>
      <selection pane="bottomLeft" activeCell="C45" sqref="C45"/>
    </sheetView>
  </sheetViews>
  <sheetFormatPr defaultColWidth="9" defaultRowHeight="11.25" x14ac:dyDescent="0.2"/>
  <cols>
    <col min="1" max="1" width="52.832031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Hampton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662503.55000000005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215355.93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98234.08</v>
      </c>
      <c r="D11" s="95">
        <f>'DOE25'!G12</f>
        <v>19194.82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103465.26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760737.63</v>
      </c>
      <c r="D18" s="41">
        <f>SUM(D8:D17)</f>
        <v>19194.82</v>
      </c>
      <c r="E18" s="41">
        <f>SUM(E8:E17)</f>
        <v>103465.26</v>
      </c>
      <c r="F18" s="41">
        <f>SUM(F8:F17)</f>
        <v>0</v>
      </c>
      <c r="G18" s="41">
        <f>SUM(G8:G17)</f>
        <v>215355.93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19194.82</v>
      </c>
      <c r="D21" s="95">
        <f>'DOE25'!G22</f>
        <v>0</v>
      </c>
      <c r="E21" s="95">
        <f>'DOE25'!H22</f>
        <v>98234.08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5231.18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67470.47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68143.780000000013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154809.07</v>
      </c>
      <c r="D31" s="41">
        <f>SUM(D21:D30)</f>
        <v>0</v>
      </c>
      <c r="E31" s="41">
        <f>SUM(E21:E30)</f>
        <v>103465.26000000001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215355.93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159113.79999999999</v>
      </c>
      <c r="D48" s="95">
        <f>'DOE25'!G49</f>
        <v>19194.82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446814.76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605928.56000000006</v>
      </c>
      <c r="D50" s="41">
        <f>SUM(D34:D49)</f>
        <v>19194.82</v>
      </c>
      <c r="E50" s="41">
        <f>SUM(E34:E49)</f>
        <v>0</v>
      </c>
      <c r="F50" s="41">
        <f>SUM(F34:F49)</f>
        <v>0</v>
      </c>
      <c r="G50" s="41">
        <f>SUM(G34:G49)</f>
        <v>215355.93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760737.63000000012</v>
      </c>
      <c r="D51" s="41">
        <f>D50+D31</f>
        <v>19194.82</v>
      </c>
      <c r="E51" s="41">
        <f>E50+E31</f>
        <v>103465.26000000001</v>
      </c>
      <c r="F51" s="41">
        <f>F50+F31</f>
        <v>0</v>
      </c>
      <c r="G51" s="41">
        <f>G50+G31</f>
        <v>215355.93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13574031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29027.05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3490.35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288209.87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277846.01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1169.17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306873.06</v>
      </c>
      <c r="D62" s="130">
        <f>SUM(D57:D61)</f>
        <v>288209.87</v>
      </c>
      <c r="E62" s="130">
        <f>SUM(E57:E61)</f>
        <v>0</v>
      </c>
      <c r="F62" s="130">
        <f>SUM(F57:F61)</f>
        <v>0</v>
      </c>
      <c r="G62" s="130">
        <f>SUM(G57:G61)</f>
        <v>4659.5200000000004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13880904.060000001</v>
      </c>
      <c r="D63" s="22">
        <f>D56+D62</f>
        <v>288209.87</v>
      </c>
      <c r="E63" s="22">
        <f>E56+E62</f>
        <v>0</v>
      </c>
      <c r="F63" s="22">
        <f>F56+F62</f>
        <v>0</v>
      </c>
      <c r="G63" s="22">
        <f>G56+G62</f>
        <v>4659.5200000000004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34003.1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4494063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4528066.0999999996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123237.7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1881.98</v>
      </c>
      <c r="D77" s="95">
        <f>SUM('DOE25'!G131:G135)</f>
        <v>7427.83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125119.67999999999</v>
      </c>
      <c r="D78" s="130">
        <f>SUM(D72:D77)</f>
        <v>7427.83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4653185.7799999993</v>
      </c>
      <c r="D81" s="130">
        <f>SUM(D79:D80)+D78+D70</f>
        <v>7427.83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76655.59</v>
      </c>
      <c r="D88" s="95">
        <f>SUM('DOE25'!G153:G161)</f>
        <v>156736.01999999999</v>
      </c>
      <c r="E88" s="95">
        <f>SUM('DOE25'!H153:H161)</f>
        <v>506004.70999999996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76655.59</v>
      </c>
      <c r="D91" s="131">
        <f>SUM(D85:D90)</f>
        <v>156736.01999999999</v>
      </c>
      <c r="E91" s="131">
        <f>SUM(E85:E90)</f>
        <v>506004.70999999996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18610745.43</v>
      </c>
      <c r="D104" s="86">
        <f>D63+D81+D91+D103</f>
        <v>452373.72</v>
      </c>
      <c r="E104" s="86">
        <f>E63+E81+E91+E103</f>
        <v>506004.70999999996</v>
      </c>
      <c r="F104" s="86">
        <f>F63+F81+F91+F103</f>
        <v>0</v>
      </c>
      <c r="G104" s="86">
        <f>G63+G81+G103</f>
        <v>4659.5200000000004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8820772.8699999992</v>
      </c>
      <c r="D109" s="24" t="s">
        <v>289</v>
      </c>
      <c r="E109" s="95">
        <f>('DOE25'!L276)+('DOE25'!L295)+('DOE25'!L314)</f>
        <v>146619.47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2036665.63</v>
      </c>
      <c r="D110" s="24" t="s">
        <v>289</v>
      </c>
      <c r="E110" s="95">
        <f>('DOE25'!L277)+('DOE25'!L296)+('DOE25'!L315)</f>
        <v>274747.23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138712.50999999998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42500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39291.39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11077942.4</v>
      </c>
      <c r="D115" s="86">
        <f>SUM(D109:D114)</f>
        <v>0</v>
      </c>
      <c r="E115" s="86">
        <f>SUM(E109:E114)</f>
        <v>421366.69999999995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1540506.55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1186761.5</v>
      </c>
      <c r="D119" s="24" t="s">
        <v>289</v>
      </c>
      <c r="E119" s="95">
        <f>+('DOE25'!L282)+('DOE25'!L301)+('DOE25'!L320)</f>
        <v>77705.11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565587.54</v>
      </c>
      <c r="D120" s="24" t="s">
        <v>289</v>
      </c>
      <c r="E120" s="95">
        <f>+('DOE25'!L283)+('DOE25'!L302)+('DOE25'!L321)</f>
        <v>1798.02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944626.0199999999</v>
      </c>
      <c r="D121" s="24" t="s">
        <v>289</v>
      </c>
      <c r="E121" s="95">
        <f>+('DOE25'!L284)+('DOE25'!L303)+('DOE25'!L322)</f>
        <v>4384.88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1623711.56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731441.5</v>
      </c>
      <c r="D124" s="24" t="s">
        <v>289</v>
      </c>
      <c r="E124" s="95">
        <f>+('DOE25'!L287)+('DOE25'!L306)+('DOE25'!L325)</f>
        <v>750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433849.39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6592634.6699999999</v>
      </c>
      <c r="D128" s="86">
        <f>SUM(D118:D127)</f>
        <v>433849.39</v>
      </c>
      <c r="E128" s="86">
        <f>SUM(E118:E127)</f>
        <v>84638.010000000009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200032.87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400000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72562.5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4659.5200000000004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-4659.5200000000004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672595.37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18343172.440000001</v>
      </c>
      <c r="D145" s="86">
        <f>(D115+D128+D144)</f>
        <v>433849.39</v>
      </c>
      <c r="E145" s="86">
        <f>(E115+E128+E144)</f>
        <v>506004.70999999996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07/96</v>
      </c>
      <c r="C152" s="152" t="str">
        <f>'DOE25'!G491</f>
        <v>07/98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08/16</v>
      </c>
      <c r="C153" s="152" t="str">
        <f>'DOE25'!G492</f>
        <v>08/18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3970000</v>
      </c>
      <c r="C154" s="137">
        <f>'DOE25'!G493</f>
        <v>1770000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5.71</v>
      </c>
      <c r="C155" s="137">
        <f>'DOE25'!G494</f>
        <v>4.91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920000</v>
      </c>
      <c r="C156" s="137">
        <f>'DOE25'!G495</f>
        <v>615000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1535000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290000</v>
      </c>
      <c r="C158" s="137">
        <f>'DOE25'!G497</f>
        <v>110000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400000</v>
      </c>
    </row>
    <row r="159" spans="1:9" x14ac:dyDescent="0.2">
      <c r="A159" s="22" t="s">
        <v>35</v>
      </c>
      <c r="B159" s="137">
        <f>'DOE25'!F498</f>
        <v>630000</v>
      </c>
      <c r="C159" s="137">
        <f>'DOE25'!G498</f>
        <v>505000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1135000</v>
      </c>
    </row>
    <row r="160" spans="1:9" x14ac:dyDescent="0.2">
      <c r="A160" s="22" t="s">
        <v>36</v>
      </c>
      <c r="B160" s="137">
        <f>'DOE25'!F499</f>
        <v>36800</v>
      </c>
      <c r="C160" s="137">
        <f>'DOE25'!G499</f>
        <v>52125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88925</v>
      </c>
    </row>
    <row r="161" spans="1:7" x14ac:dyDescent="0.2">
      <c r="A161" s="22" t="s">
        <v>37</v>
      </c>
      <c r="B161" s="137">
        <f>'DOE25'!F500</f>
        <v>666800</v>
      </c>
      <c r="C161" s="137">
        <f>'DOE25'!G500</f>
        <v>557125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1223925</v>
      </c>
    </row>
    <row r="162" spans="1:7" x14ac:dyDescent="0.2">
      <c r="A162" s="22" t="s">
        <v>38</v>
      </c>
      <c r="B162" s="137">
        <f>'DOE25'!F501</f>
        <v>305000</v>
      </c>
      <c r="C162" s="137">
        <f>'DOE25'!G501</f>
        <v>115000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420000</v>
      </c>
    </row>
    <row r="163" spans="1:7" x14ac:dyDescent="0.2">
      <c r="A163" s="22" t="s">
        <v>39</v>
      </c>
      <c r="B163" s="137">
        <f>'DOE25'!F502</f>
        <v>27456.25</v>
      </c>
      <c r="C163" s="137">
        <f>'DOE25'!G502</f>
        <v>22375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49831.25</v>
      </c>
    </row>
    <row r="164" spans="1:7" x14ac:dyDescent="0.2">
      <c r="A164" s="22" t="s">
        <v>246</v>
      </c>
      <c r="B164" s="137">
        <f>'DOE25'!F503</f>
        <v>332456.25</v>
      </c>
      <c r="C164" s="137">
        <f>'DOE25'!G503</f>
        <v>137375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469831.25</v>
      </c>
    </row>
  </sheetData>
  <sheetProtection password="A30A" sheet="1" objects="1" scenarios="1"/>
  <phoneticPr fontId="0" type="noConversion"/>
  <printOptions horizontalCentered="1" gridLines="1" gridLinesSet="0"/>
  <pageMargins left="0.3" right="0.3" top="0.75" bottom="0.5" header="0.5" footer="0.5"/>
  <pageSetup scale="85" orientation="landscape"/>
  <headerFooter alignWithMargins="0">
    <oddHeader>&amp;C&amp;A
2014-2015</oddHeader>
    <oddFooter>&amp;CPage &amp;P&amp;R&amp;D&amp;T</oddFooter>
  </headerFooter>
  <rowBreaks count="4" manualBreakCount="4">
    <brk id="52" max="16383" man="1"/>
    <brk id="81" max="16383" man="1"/>
    <brk id="105" max="16383" man="1"/>
    <brk id="146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Hampton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15213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15213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8967392</v>
      </c>
      <c r="D10" s="182">
        <f>ROUND((C10/$C$28)*100,1)</f>
        <v>48.7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2311413</v>
      </c>
      <c r="D11" s="182">
        <f>ROUND((C11/$C$28)*100,1)</f>
        <v>12.6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138713</v>
      </c>
      <c r="D13" s="182">
        <f>ROUND((C13/$C$28)*100,1)</f>
        <v>0.8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1540507</v>
      </c>
      <c r="D15" s="182">
        <f t="shared" ref="D15:D27" si="0">ROUND((C15/$C$28)*100,1)</f>
        <v>8.4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1264467</v>
      </c>
      <c r="D16" s="182">
        <f t="shared" si="0"/>
        <v>6.9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567386</v>
      </c>
      <c r="D17" s="182">
        <f t="shared" si="0"/>
        <v>3.1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949011</v>
      </c>
      <c r="D18" s="182">
        <f t="shared" si="0"/>
        <v>5.2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1623712</v>
      </c>
      <c r="D20" s="182">
        <f t="shared" si="0"/>
        <v>8.8000000000000007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732192</v>
      </c>
      <c r="D21" s="182">
        <f t="shared" si="0"/>
        <v>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42500</v>
      </c>
      <c r="D23" s="182">
        <f t="shared" si="0"/>
        <v>0.2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39291</v>
      </c>
      <c r="D24" s="182">
        <f t="shared" si="0"/>
        <v>0.2</v>
      </c>
    </row>
    <row r="25" spans="1:4" x14ac:dyDescent="0.2">
      <c r="A25">
        <v>5120</v>
      </c>
      <c r="B25" t="s">
        <v>720</v>
      </c>
      <c r="C25" s="179">
        <f>ROUND('DOE25'!L261+'DOE25'!L342,0)</f>
        <v>72563</v>
      </c>
      <c r="D25" s="182">
        <f t="shared" si="0"/>
        <v>0.4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145639.13</v>
      </c>
      <c r="D27" s="182">
        <f t="shared" si="0"/>
        <v>0.8</v>
      </c>
    </row>
    <row r="28" spans="1:4" x14ac:dyDescent="0.2">
      <c r="B28" s="187" t="s">
        <v>723</v>
      </c>
      <c r="C28" s="180">
        <f>SUM(C10:C27)</f>
        <v>18394786.129999999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200033</v>
      </c>
    </row>
    <row r="30" spans="1:4" x14ac:dyDescent="0.2">
      <c r="B30" s="187" t="s">
        <v>729</v>
      </c>
      <c r="C30" s="180">
        <f>SUM(C28:C29)</f>
        <v>18594819.129999999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400000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13574031</v>
      </c>
      <c r="D35" s="182">
        <f t="shared" ref="D35:D40" si="1">ROUND((C35/$C$41)*100,1)</f>
        <v>70.400000000000006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311532.58000000007</v>
      </c>
      <c r="D36" s="182">
        <f t="shared" si="1"/>
        <v>1.6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4528066</v>
      </c>
      <c r="D37" s="182">
        <f t="shared" si="1"/>
        <v>23.5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132548</v>
      </c>
      <c r="D38" s="182">
        <f t="shared" si="1"/>
        <v>0.7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739396</v>
      </c>
      <c r="D39" s="182">
        <f t="shared" si="1"/>
        <v>3.8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19285573.579999998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/>
  <headerFooter alignWithMargins="0">
    <oddHeader>&amp;A</oddHeader>
    <oddFooter>Page &amp;P</oddFooter>
  </headerFooter>
  <ignoredErrors>
    <ignoredError sqref="D10:D28" evalErro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8" sqref="A8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Hampton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3</v>
      </c>
      <c r="B4" s="219">
        <v>24</v>
      </c>
      <c r="C4" s="291" t="s">
        <v>916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4</v>
      </c>
      <c r="B6" s="219">
        <v>18</v>
      </c>
      <c r="C6" s="291" t="s">
        <v>917</v>
      </c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/>
  <headerFooter alignWithMargins="0">
    <oddHeader>&amp;LDistrict Notes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2015-10-19T13:03:06Z</cp:lastPrinted>
  <dcterms:created xsi:type="dcterms:W3CDTF">1997-12-04T19:04:30Z</dcterms:created>
  <dcterms:modified xsi:type="dcterms:W3CDTF">2015-10-19T13:18:35Z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