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25" yWindow="-30" windowWidth="22200" windowHeight="113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1" i="1" l="1"/>
  <c r="G521" i="1"/>
  <c r="F521" i="1"/>
  <c r="H207" i="1" l="1"/>
  <c r="C10" i="12"/>
  <c r="C12" i="12"/>
  <c r="C19" i="12"/>
  <c r="C20" i="12"/>
  <c r="G197" i="1"/>
  <c r="G203" i="1"/>
  <c r="G531" i="1"/>
  <c r="B20" i="12"/>
  <c r="B10" i="12"/>
  <c r="B12" i="12"/>
  <c r="B21" i="12"/>
  <c r="B19" i="12"/>
  <c r="B11" i="12"/>
  <c r="G283" i="1" l="1"/>
  <c r="H282" i="1"/>
  <c r="K283" i="1"/>
  <c r="H277" i="1"/>
  <c r="G277" i="1"/>
  <c r="G276" i="1"/>
  <c r="F276" i="1"/>
  <c r="H159" i="1"/>
  <c r="H154" i="1"/>
  <c r="H604" i="1"/>
  <c r="F531" i="1"/>
  <c r="F367" i="1"/>
  <c r="I203" i="1"/>
  <c r="H208" i="1"/>
  <c r="H204" i="1"/>
  <c r="H203" i="1"/>
  <c r="F203" i="1"/>
  <c r="F202" i="1"/>
  <c r="I358" i="1"/>
  <c r="F110" i="1"/>
  <c r="F29" i="1"/>
  <c r="F9" i="1"/>
  <c r="H358" i="1"/>
  <c r="F358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F664" i="1" s="1"/>
  <c r="F672" i="1" s="1"/>
  <c r="C4" i="10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H33" i="13"/>
  <c r="E33" i="13" l="1"/>
  <c r="D35" i="13" s="1"/>
  <c r="J644" i="1"/>
  <c r="C16" i="13"/>
  <c r="F667" i="1"/>
  <c r="C62" i="2"/>
  <c r="C63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C51" i="2" l="1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<sst xmlns="http://schemas.openxmlformats.org/spreadsheetml/2006/main" count="3958" uniqueCount="916">
  <si>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</si>
  <si>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</si>
  <si>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</si>
  <si>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</si>
  <si>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</si>
  <si>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</si>
  <si>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</si>
  <si>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</si>
  <si>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</si>
  <si>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</si>
  <si>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</si>
  <si>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</si>
  <si>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</si>
  <si>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</si>
  <si>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</si>
  <si>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</si>
  <si>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</si>
  <si>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</si>
  <si>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</si>
  <si>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</si>
  <si>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</si>
  <si>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</si>
  <si>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</si>
  <si>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</si>
  <si>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</si>
  <si>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</si>
  <si>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</si>
  <si>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</si>
  <si>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</si>
  <si>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</si>
  <si>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</si>
  <si>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</si>
  <si>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</si>
  <si>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</si>
  <si>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</si>
  <si>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</si>
  <si>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</si>
  <si>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</si>
  <si>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</si>
  <si>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</si>
  <si>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</si>
  <si>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</si>
  <si>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</si>
  <si>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</si>
  <si>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</si>
  <si>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</si>
  <si>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</si>
  <si>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</si>
  <si>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</si>
  <si>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</si>
  <si>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</si>
  <si>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</si>
  <si>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</si>
  <si>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</si>
  <si>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</si>
  <si>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</si>
  <si>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</si>
  <si>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</si>
  <si>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</si>
  <si>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</si>
  <si>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</si>
  <si>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</si>
  <si>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</si>
  <si>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</si>
  <si>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</si>
  <si>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</si>
  <si>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</si>
  <si>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</si>
  <si>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</si>
  <si>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</si>
  <si>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</si>
  <si>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</si>
  <si>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</si>
  <si>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</si>
  <si>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</si>
  <si>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</si>
  <si>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</si>
  <si>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</si>
  <si>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</si>
  <si>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</si>
  <si>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</si>
  <si>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</si>
  <si>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</si>
  <si>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</si>
  <si>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</si>
  <si>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</si>
  <si>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</si>
  <si>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</si>
  <si>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</si>
  <si>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</si>
  <si>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</si>
  <si>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</si>
  <si>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</si>
  <si>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</si>
  <si>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</si>
  <si>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</si>
  <si>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</si>
  <si>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</si>
  <si>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</si>
  <si>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</si>
  <si>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</si>
  <si>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</si>
  <si>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</si>
  <si>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</si>
  <si>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</si>
  <si>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</si>
  <si>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</si>
  <si>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</si>
  <si>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</si>
  <si>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</si>
  <si>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</si>
  <si>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</si>
  <si>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</si>
  <si>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</si>
  <si>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</si>
  <si>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</si>
  <si>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</si>
  <si>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</si>
  <si>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</si>
  <si>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</si>
  <si>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</si>
  <si>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</si>
  <si>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</si>
  <si>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</si>
  <si>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</si>
  <si>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</si>
  <si>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</si>
  <si>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</si>
  <si>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</si>
  <si>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</si>
  <si>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</si>
  <si>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</si>
  <si>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</si>
  <si>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</si>
  <si>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</si>
  <si>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</si>
  <si>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</si>
  <si>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</si>
  <si>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</si>
  <si>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</si>
  <si>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</si>
  <si>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</si>
  <si>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</si>
  <si>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</si>
  <si>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</si>
  <si>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</si>
  <si>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</si>
  <si>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</si>
  <si>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</si>
  <si>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</si>
  <si>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</si>
  <si>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</si>
  <si>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</si>
  <si>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</si>
  <si>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</si>
  <si>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</si>
  <si>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</si>
  <si>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</si>
  <si>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</si>
  <si>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</si>
  <si>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</si>
  <si>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</si>
  <si>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</si>
  <si>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</si>
  <si>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</si>
  <si>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</si>
  <si>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</si>
  <si>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</si>
  <si>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</si>
  <si>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</si>
  <si>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</si>
  <si>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</si>
  <si>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</si>
  <si>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</si>
  <si>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</si>
  <si>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</si>
  <si>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</si>
  <si>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</si>
  <si>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</si>
  <si>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</si>
  <si>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</si>
  <si>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</si>
  <si>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</si>
  <si>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</si>
  <si>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</si>
  <si>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</si>
  <si>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</si>
  <si>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</si>
  <si>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</si>
  <si>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</si>
  <si>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</si>
  <si>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</si>
  <si>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</si>
  <si>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</si>
  <si>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</si>
  <si>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</si>
  <si>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</si>
  <si>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</si>
  <si>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</si>
  <si>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</si>
  <si>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</si>
  <si>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</si>
  <si>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</si>
  <si>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</si>
  <si>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</si>
  <si>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</si>
  <si>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</si>
  <si>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</si>
  <si>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</si>
  <si>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</si>
  <si>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</si>
  <si>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</si>
  <si>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</si>
  <si>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</si>
  <si>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</si>
  <si>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</si>
  <si>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</si>
  <si>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</si>
  <si>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</si>
  <si>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</si>
  <si>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</si>
  <si>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</si>
  <si>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</si>
  <si>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</si>
  <si>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</si>
  <si>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</si>
  <si>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</si>
  <si>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</si>
  <si>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</si>
  <si>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</si>
  <si>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</si>
  <si>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</si>
  <si>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</si>
  <si>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</si>
  <si>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</si>
  <si>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</si>
  <si>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</si>
  <si>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</si>
  <si>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</si>
  <si>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</si>
  <si>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</si>
  <si>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</si>
  <si>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</si>
  <si>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</si>
  <si>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</si>
  <si>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</si>
  <si>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</si>
  <si>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</si>
  <si>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</si>
  <si>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</si>
  <si>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</si>
  <si>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</si>
  <si>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</si>
  <si>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</si>
  <si>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</si>
  <si>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</si>
  <si>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</si>
  <si>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</si>
  <si>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</si>
  <si>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</si>
  <si>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</si>
  <si>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</si>
  <si>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</si>
  <si>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</si>
  <si>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</si>
  <si>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</si>
  <si>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</si>
  <si>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</si>
  <si>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</si>
  <si>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</si>
  <si>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</si>
  <si>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</si>
  <si>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</si>
  <si>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</si>
  <si>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</si>
  <si>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</si>
  <si>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</si>
  <si>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</si>
  <si>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</si>
  <si>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</si>
  <si>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</si>
  <si>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</si>
  <si>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</si>
  <si>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</si>
  <si>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</si>
  <si>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</si>
  <si>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</si>
  <si>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</si>
  <si>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</si>
  <si>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</si>
  <si>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</si>
  <si>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</si>
  <si>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</si>
  <si>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</si>
  <si>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</si>
  <si>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</si>
  <si>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</si>
  <si>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</si>
  <si>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</si>
  <si>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</si>
  <si>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</si>
  <si>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</si>
  <si>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</si>
  <si>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</si>
  <si>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</si>
  <si>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</si>
  <si>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</si>
  <si>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</si>
  <si>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</si>
  <si>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</si>
  <si>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</si>
  <si>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</si>
  <si>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</si>
  <si>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</si>
  <si>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</si>
  <si>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</si>
  <si>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</si>
  <si>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</si>
  <si>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</si>
  <si>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</si>
  <si>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</si>
  <si>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</si>
  <si>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</si>
  <si>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</si>
  <si>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</si>
  <si>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</si>
  <si>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</si>
  <si>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</si>
  <si>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</si>
  <si>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</si>
  <si>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</si>
  <si>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</si>
  <si>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</si>
  <si>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</si>
  <si>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</si>
  <si>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</si>
  <si>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</si>
  <si>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</si>
  <si>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</si>
  <si>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</si>
  <si>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</si>
  <si>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</si>
  <si>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</si>
  <si>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</si>
  <si>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</si>
  <si>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</si>
  <si>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</si>
  <si>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</si>
  <si>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</si>
  <si>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</si>
  <si>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</si>
  <si>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</si>
  <si>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</si>
  <si>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</si>
  <si>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</si>
  <si>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</si>
  <si>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</si>
  <si>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</si>
  <si>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</si>
  <si>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</si>
  <si>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</si>
  <si>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</si>
  <si>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</si>
  <si>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</si>
  <si>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</si>
  <si>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</si>
  <si>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</si>
  <si>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</si>
  <si>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</si>
  <si>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</si>
  <si>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</si>
  <si>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</si>
  <si>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</si>
  <si>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</si>
  <si>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</si>
  <si>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</si>
  <si>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</si>
  <si>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</si>
  <si>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</si>
  <si>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</si>
  <si>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</si>
  <si>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</si>
  <si>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</si>
  <si>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</si>
  <si>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</si>
  <si>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</si>
  <si>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</si>
  <si>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</si>
  <si>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</si>
  <si>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</si>
  <si>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</si>
  <si>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</si>
  <si>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</si>
  <si>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</si>
  <si>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</si>
  <si>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</si>
  <si>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</si>
  <si>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</si>
  <si>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</si>
  <si>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</si>
  <si>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</si>
  <si>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</si>
  <si>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</si>
  <si>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</si>
  <si>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</si>
  <si>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</si>
  <si>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</si>
  <si>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</si>
  <si>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</si>
  <si>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</si>
  <si>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</si>
  <si>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</si>
  <si>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</si>
  <si>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</si>
  <si>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</si>
  <si>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</si>
  <si>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</si>
  <si>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</si>
  <si>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</si>
  <si>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</si>
  <si>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</si>
  <si>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</si>
  <si>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</si>
  <si>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</si>
  <si>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</si>
  <si>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</si>
  <si>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</si>
  <si>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</si>
  <si>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</si>
  <si>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</si>
  <si>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</si>
  <si>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</si>
  <si>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</si>
  <si>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</si>
  <si>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</si>
  <si>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</si>
  <si>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</si>
  <si>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</si>
  <si>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</si>
  <si>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</si>
  <si>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</si>
  <si>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</si>
  <si>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</si>
  <si>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</si>
  <si>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</si>
  <si>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</si>
  <si>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</si>
  <si>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</si>
  <si>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</si>
  <si>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</si>
  <si>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</si>
  <si>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</si>
  <si>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</si>
  <si>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</si>
  <si>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</si>
  <si>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</si>
  <si>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</si>
  <si>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</si>
  <si>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</si>
  <si>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</si>
  <si>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</si>
  <si>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</si>
  <si>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</si>
  <si>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</si>
  <si>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</si>
  <si>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</si>
  <si>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</si>
  <si>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</si>
  <si>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</si>
  <si>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</si>
  <si>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</si>
  <si>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</si>
  <si>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</si>
  <si>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</si>
  <si>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</si>
  <si>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</si>
  <si>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</si>
  <si>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</si>
  <si>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</si>
  <si>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</si>
  <si>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</si>
  <si>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</si>
  <si>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</si>
  <si>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</si>
  <si>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</si>
  <si>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</si>
  <si>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</si>
  <si>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</si>
  <si>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</si>
  <si>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</si>
  <si>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</si>
  <si>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</si>
  <si>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</si>
  <si>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</si>
  <si>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</si>
  <si>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</si>
  <si>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</si>
  <si>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</si>
  <si>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</si>
  <si>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</si>
  <si>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</si>
  <si>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</si>
  <si>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</si>
  <si>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</si>
  <si>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</si>
  <si>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</si>
  <si>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</si>
  <si>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</si>
  <si>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</si>
  <si>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</si>
  <si>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</si>
  <si>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</si>
  <si>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</si>
  <si>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</si>
  <si>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</si>
  <si>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</si>
  <si>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</si>
  <si>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</si>
  <si>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</si>
  <si>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</si>
  <si>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</si>
  <si>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</si>
  <si>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</si>
  <si>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</si>
  <si>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</si>
  <si>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</si>
  <si>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</si>
  <si>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</si>
  <si>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</si>
  <si>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</si>
  <si>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</si>
  <si>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</si>
  <si>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</si>
  <si>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</si>
  <si>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</si>
  <si>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</si>
  <si>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</si>
  <si>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</si>
  <si>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</si>
  <si>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</si>
  <si>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</si>
  <si>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</si>
  <si>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</si>
  <si>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</si>
  <si>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</si>
  <si>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</si>
  <si>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</si>
  <si>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</si>
  <si>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</si>
  <si>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</si>
  <si>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</si>
  <si>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</si>
  <si>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</si>
  <si>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</si>
  <si>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</si>
  <si>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</si>
  <si>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</si>
  <si>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</si>
  <si>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</si>
  <si>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</si>
  <si>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</si>
  <si>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</si>
  <si>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</si>
  <si>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</si>
  <si>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</si>
  <si>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</si>
  <si>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</si>
  <si>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</si>
  <si>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</si>
  <si>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</si>
  <si>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</si>
  <si>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</si>
  <si>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</si>
  <si>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</si>
  <si>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</si>
  <si>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</si>
  <si>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</si>
  <si>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</si>
  <si>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</si>
  <si>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</si>
  <si>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</si>
  <si>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</si>
  <si>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</si>
  <si>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</si>
  <si>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</si>
  <si>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</si>
  <si>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</si>
  <si>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</si>
  <si>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</si>
  <si>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</si>
  <si>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</si>
  <si>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</si>
  <si>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</si>
  <si>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</si>
  <si>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</si>
  <si>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</si>
  <si>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</si>
  <si>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</si>
  <si>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</si>
  <si>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</si>
  <si>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</si>
  <si>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</si>
  <si>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</si>
  <si>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</si>
  <si>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</si>
  <si>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</si>
  <si>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</si>
  <si>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</si>
  <si>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</si>
  <si>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</si>
  <si>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</si>
  <si>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</si>
  <si>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</si>
  <si>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</si>
  <si>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</si>
  <si>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</si>
  <si>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</si>
  <si>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</si>
  <si>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</si>
  <si>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</si>
  <si>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</si>
  <si>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</si>
  <si>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</si>
  <si>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</si>
  <si>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</si>
  <si>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</si>
  <si>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</si>
  <si>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</si>
  <si>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</si>
  <si>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</si>
  <si>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</si>
  <si>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</si>
  <si>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</si>
  <si>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</si>
  <si>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</si>
  <si>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</si>
  <si>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</si>
  <si>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</si>
  <si>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</si>
  <si>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</si>
  <si>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</si>
  <si>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</si>
  <si>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</si>
  <si>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</si>
  <si>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</si>
  <si>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</si>
  <si>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</si>
  <si>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</si>
  <si>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</si>
  <si>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</si>
  <si>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</si>
  <si>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</si>
  <si>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</si>
  <si>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</si>
  <si>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</si>
  <si>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</si>
  <si>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</si>
  <si>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</si>
  <si>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</si>
  <si>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</si>
  <si>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</si>
  <si>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</si>
  <si>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</si>
  <si>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</si>
  <si>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</si>
  <si>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</si>
  <si>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</si>
  <si>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</si>
  <si>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</si>
  <si>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</si>
  <si>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</si>
  <si>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</si>
  <si>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</si>
  <si>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</si>
  <si>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</si>
  <si>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</si>
  <si>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</si>
  <si>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</si>
  <si>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</si>
  <si>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</si>
  <si>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</si>
  <si>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</si>
  <si>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</si>
  <si>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</si>
  <si>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</si>
  <si>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</si>
  <si>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</si>
  <si>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</si>
  <si>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</si>
  <si>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</si>
  <si>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</si>
  <si>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</si>
  <si>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</si>
  <si>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</si>
  <si>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</si>
  <si>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</si>
  <si>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</si>
  <si>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</si>
  <si>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</si>
  <si>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</si>
  <si>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</si>
  <si>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</si>
  <si>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</si>
  <si>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</si>
  <si>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</si>
  <si>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</si>
  <si>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</si>
  <si>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</si>
  <si>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</si>
  <si>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</si>
  <si>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</si>
  <si>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</si>
  <si>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</si>
  <si>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</si>
  <si>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</si>
  <si>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</si>
  <si>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</si>
  <si>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</si>
  <si>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</si>
  <si>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</si>
  <si>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</si>
  <si>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</si>
  <si>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</si>
  <si>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</si>
  <si>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</si>
  <si>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</si>
  <si>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</si>
  <si>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</si>
  <si>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</si>
  <si>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</si>
  <si>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</si>
  <si>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</si>
  <si>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</si>
  <si>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</si>
  <si>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</si>
  <si>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</si>
  <si>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</si>
  <si>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</si>
  <si>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</si>
  <si>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</si>
  <si>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</si>
  <si>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</si>
  <si>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</si>
  <si>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</si>
  <si>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</si>
  <si>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</si>
  <si>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</si>
  <si>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</si>
  <si>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</si>
  <si>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</si>
  <si>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</si>
  <si>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</si>
  <si>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</si>
  <si>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</si>
  <si>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</si>
  <si>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</si>
  <si>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</si>
  <si>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</si>
  <si>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</si>
  <si>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</si>
  <si>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</si>
  <si>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</si>
  <si>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</si>
  <si>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</si>
  <si>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</si>
  <si>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</si>
  <si>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</si>
  <si>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</si>
  <si>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</si>
  <si>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</si>
  <si>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</si>
  <si>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</si>
  <si>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</si>
  <si>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</si>
  <si>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</si>
  <si>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</si>
  <si>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</si>
  <si>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</si>
  <si>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</si>
  <si>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</si>
  <si>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</si>
  <si>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</si>
  <si>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</si>
  <si>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</si>
  <si>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</si>
  <si>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</si>
  <si>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</si>
  <si>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</si>
  <si>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</si>
  <si>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</si>
  <si>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</si>
  <si>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</si>
  <si>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</si>
  <si>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</si>
  <si>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</si>
  <si>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</si>
  <si>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</si>
  <si>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</si>
  <si>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</si>
  <si>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</si>
  <si>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</si>
  <si>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</si>
  <si>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</si>
  <si>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</si>
  <si>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</si>
  <si>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</si>
  <si>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</si>
  <si>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</si>
  <si>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</si>
  <si>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</si>
  <si>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</si>
  <si>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</si>
  <si>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</si>
  <si>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</si>
  <si>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</si>
  <si>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</si>
  <si>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</si>
  <si>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</si>
  <si>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</si>
  <si>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</si>
  <si>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</si>
  <si>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</si>
  <si>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</si>
  <si>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</si>
  <si>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</si>
  <si>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</si>
  <si>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</si>
  <si>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</si>
  <si>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</si>
  <si>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</si>
  <si>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</si>
  <si>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</si>
  <si>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</si>
  <si>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</si>
  <si>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</si>
  <si>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</si>
  <si>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</si>
  <si>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</si>
  <si>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</si>
  <si>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</si>
  <si>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</si>
  <si>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</si>
  <si>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</si>
  <si>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</si>
  <si>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</si>
  <si>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</si>
  <si>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</si>
  <si>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</si>
  <si>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</si>
  <si>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</si>
  <si>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</si>
  <si>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</si>
  <si>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</si>
  <si>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</si>
  <si>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</si>
  <si>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</si>
  <si>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</si>
  <si>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</si>
  <si>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</si>
  <si>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</si>
  <si>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</si>
  <si>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</si>
  <si>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</si>
  <si>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</si>
  <si>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</si>
  <si>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</si>
  <si>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</si>
  <si>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</si>
  <si>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</si>
  <si>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</si>
  <si>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</si>
  <si>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</si>
  <si>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</si>
  <si>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</si>
  <si>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</si>
  <si>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</si>
  <si>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</si>
  <si>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</si>
  <si>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</si>
  <si>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</si>
  <si>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</si>
  <si>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</si>
  <si>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</si>
  <si>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</si>
  <si>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</si>
  <si>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</si>
  <si>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</si>
  <si>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</si>
  <si>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</si>
  <si>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</si>
  <si>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</si>
  <si>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</si>
  <si>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</si>
  <si>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</si>
  <si>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</si>
  <si>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</si>
  <si>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</si>
  <si>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</si>
  <si>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</si>
  <si>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</si>
  <si>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</si>
  <si>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</si>
  <si>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</si>
  <si>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</si>
  <si>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</si>
  <si>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</si>
  <si>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</si>
  <si>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</si>
  <si>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</si>
  <si>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</si>
  <si>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</si>
  <si>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HAMPTON FALLS</t>
  </si>
  <si>
    <t>other revenue consists of misc other revenue of $7,826.92 and LGC Refund of $51,753.37</t>
  </si>
  <si>
    <t>This is FEMA Disaster Reimbursement for winter 2015 snow storm</t>
  </si>
  <si>
    <t>August 2004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</si>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</sst>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21</v>
      </c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268839.72+228.98</f>
        <v>269068.69999999995</v>
      </c>
      <c r="G9" s="18"/>
      <c r="H9" s="18"/>
      <c r="I9" s="18"/>
      <c r="J9" s="67">
        <f>SUM(I439)</f>
        <v>104811.1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5538.83</v>
      </c>
      <c r="G12" s="18">
        <v>3089.2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5796.2</v>
      </c>
      <c r="G13" s="18">
        <v>1402.31</v>
      </c>
      <c r="H13" s="18">
        <v>9067.36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3162.53</v>
      </c>
      <c r="G14" s="18">
        <v>52.26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2264.6999999999998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283566.26</v>
      </c>
      <c r="G19" s="41">
        <f>SUM(G9:G18)</f>
        <v>6808.47</v>
      </c>
      <c r="H19" s="41">
        <f>SUM(H9:H18)</f>
        <v>9067.36</v>
      </c>
      <c r="I19" s="41">
        <f>SUM(I9:I18)</f>
        <v>0</v>
      </c>
      <c r="J19" s="41">
        <f>SUM(J9:J18)</f>
        <v>104811.1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8628.0300000000007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14185.92</v>
      </c>
      <c r="G24" s="18">
        <v>29.81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12311.61</v>
      </c>
      <c r="G28" s="18">
        <v>716.12</v>
      </c>
      <c r="H28" s="18">
        <v>439.33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15497.43+2147.2</f>
        <v>17644.63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35610</v>
      </c>
      <c r="G30" s="18">
        <v>3695.92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79752.160000000003</v>
      </c>
      <c r="G32" s="41">
        <f>SUM(G22:G31)</f>
        <v>4441.8500000000004</v>
      </c>
      <c r="H32" s="41">
        <f>SUM(H22:H31)</f>
        <v>9067.36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2264.6999999999998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101.92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104811.1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61607.5</v>
      </c>
      <c r="G49" s="18">
        <v>0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92206.6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203814.1</v>
      </c>
      <c r="G51" s="41">
        <f>SUM(G35:G50)</f>
        <v>2366.62</v>
      </c>
      <c r="H51" s="41">
        <f>SUM(H35:H50)</f>
        <v>0</v>
      </c>
      <c r="I51" s="41">
        <f>SUM(I35:I50)</f>
        <v>0</v>
      </c>
      <c r="J51" s="41">
        <f>SUM(J35:J50)</f>
        <v>104811.1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283566.26</v>
      </c>
      <c r="G52" s="41">
        <f>G51+G32</f>
        <v>6808.47</v>
      </c>
      <c r="H52" s="41">
        <f>H51+H32</f>
        <v>9067.36</v>
      </c>
      <c r="I52" s="41">
        <f>I51+I32</f>
        <v>0</v>
      </c>
      <c r="J52" s="41">
        <f>J51+J32</f>
        <v>104811.1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4121189.98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4121189.98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52.5</v>
      </c>
      <c r="G96" s="18"/>
      <c r="H96" s="18"/>
      <c r="I96" s="18"/>
      <c r="J96" s="18">
        <v>2124.02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93844.88+1072.49</f>
        <v>94917.37000000001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7826.92+51753.37</f>
        <v>59580.29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59632.79</v>
      </c>
      <c r="G111" s="41">
        <f>SUM(G96:G110)</f>
        <v>94917.37000000001</v>
      </c>
      <c r="H111" s="41">
        <f>SUM(H96:H110)</f>
        <v>0</v>
      </c>
      <c r="I111" s="41">
        <f>SUM(I96:I110)</f>
        <v>0</v>
      </c>
      <c r="J111" s="41">
        <f>SUM(J96:J110)</f>
        <v>2124.02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4180822.77</v>
      </c>
      <c r="G112" s="41">
        <f>G60+G111</f>
        <v>94917.37000000001</v>
      </c>
      <c r="H112" s="41">
        <f>H60+H79+H94+H111</f>
        <v>0</v>
      </c>
      <c r="I112" s="41">
        <f>I60+I111</f>
        <v>0</v>
      </c>
      <c r="J112" s="41">
        <f>J60+J111</f>
        <v>2124.02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120386.76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720106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840492.76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1329.08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1329.08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840492.76</v>
      </c>
      <c r="G140" s="41">
        <f>G121+SUM(G136:G137)</f>
        <v>1329.08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440.53+13672.56</f>
        <v>14113.09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5015.92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16015.68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995.48+35969.04</f>
        <v>36964.520000000004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19624.79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5251.34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24876.13</v>
      </c>
      <c r="G162" s="41">
        <f>SUM(G150:G161)</f>
        <v>16015.68</v>
      </c>
      <c r="H162" s="41">
        <f>SUM(H150:H161)</f>
        <v>56093.530000000006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5970.86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24876.13</v>
      </c>
      <c r="G169" s="41">
        <f>G147+G162+SUM(G163:G168)</f>
        <v>21986.54</v>
      </c>
      <c r="H169" s="41">
        <f>H147+H162+SUM(H163:H168)</f>
        <v>56093.530000000006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12100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12100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12100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5046191.66</v>
      </c>
      <c r="G193" s="47">
        <f>G112+G140+G169+G192</f>
        <v>130332.99000000002</v>
      </c>
      <c r="H193" s="47">
        <f>H112+H140+H169+H192</f>
        <v>56093.530000000006</v>
      </c>
      <c r="I193" s="47">
        <f>I112+I140+I169+I192</f>
        <v>0</v>
      </c>
      <c r="J193" s="47">
        <f>J112+J140+J192</f>
        <v>52124.02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1578695.56</v>
      </c>
      <c r="G197" s="18">
        <f>705204.67+20</f>
        <v>705224.67</v>
      </c>
      <c r="H197" s="18">
        <v>11022.65</v>
      </c>
      <c r="I197" s="18">
        <v>48909.32</v>
      </c>
      <c r="J197" s="18">
        <v>3769.26</v>
      </c>
      <c r="K197" s="18"/>
      <c r="L197" s="19">
        <f>SUM(F197:K197)</f>
        <v>2347621.4599999995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653686.81999999995</v>
      </c>
      <c r="G198" s="18">
        <v>256341.75</v>
      </c>
      <c r="H198" s="18">
        <v>190348.29</v>
      </c>
      <c r="I198" s="18">
        <v>1389.72</v>
      </c>
      <c r="J198" s="18">
        <v>199.99</v>
      </c>
      <c r="K198" s="18">
        <v>954.5</v>
      </c>
      <c r="L198" s="19">
        <f>SUM(F198:K198)</f>
        <v>1102921.0699999998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35799.5</v>
      </c>
      <c r="G200" s="18">
        <v>2899.76</v>
      </c>
      <c r="H200" s="18">
        <v>8442</v>
      </c>
      <c r="I200" s="18">
        <v>4919.72</v>
      </c>
      <c r="J200" s="18">
        <v>2477.58</v>
      </c>
      <c r="K200" s="18"/>
      <c r="L200" s="19">
        <f>SUM(F200:K200)</f>
        <v>54538.560000000005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42789.96+62369.06</f>
        <v>105159.01999999999</v>
      </c>
      <c r="G202" s="18">
        <v>42575.519999999997</v>
      </c>
      <c r="H202" s="18">
        <v>180</v>
      </c>
      <c r="I202" s="18">
        <v>1179.21</v>
      </c>
      <c r="J202" s="18"/>
      <c r="K202" s="18"/>
      <c r="L202" s="19">
        <f t="shared" ref="L202:L208" si="0">SUM(F202:K202)</f>
        <v>149093.74999999997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8800+51360.59+70048.11</f>
        <v>130208.7</v>
      </c>
      <c r="G203" s="18">
        <f>7174.5+53524.64</f>
        <v>60699.14</v>
      </c>
      <c r="H203" s="18">
        <f>10162.04+188.15+2410.83</f>
        <v>12761.02</v>
      </c>
      <c r="I203" s="18">
        <f>9804.88+20484.39</f>
        <v>30289.269999999997</v>
      </c>
      <c r="J203" s="18">
        <v>18861.21</v>
      </c>
      <c r="K203" s="18"/>
      <c r="L203" s="19">
        <f t="shared" si="0"/>
        <v>252819.33999999997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15954.28</v>
      </c>
      <c r="G204" s="18">
        <v>1200.5</v>
      </c>
      <c r="H204" s="18">
        <f>18881.83+106143</f>
        <v>125024.83</v>
      </c>
      <c r="I204" s="18"/>
      <c r="J204" s="18"/>
      <c r="K204" s="18">
        <v>3961.1</v>
      </c>
      <c r="L204" s="19">
        <f t="shared" si="0"/>
        <v>146140.71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142590.20000000001</v>
      </c>
      <c r="G205" s="18">
        <v>60339.57</v>
      </c>
      <c r="H205" s="18">
        <v>2439.31</v>
      </c>
      <c r="I205" s="18">
        <v>2648.83</v>
      </c>
      <c r="J205" s="18"/>
      <c r="K205" s="18">
        <v>532.5</v>
      </c>
      <c r="L205" s="19">
        <f t="shared" si="0"/>
        <v>208550.41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146383.28</v>
      </c>
      <c r="G207" s="18">
        <v>60365.08</v>
      </c>
      <c r="H207" s="18">
        <f>76967.63+39350.76+5251.34</f>
        <v>121569.73000000001</v>
      </c>
      <c r="I207" s="18">
        <v>113139.51</v>
      </c>
      <c r="J207" s="18">
        <v>60712.480000000003</v>
      </c>
      <c r="K207" s="18"/>
      <c r="L207" s="19">
        <f t="shared" si="0"/>
        <v>502170.07999999996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195278.55+2192.4+4210.05+4900.73</f>
        <v>206581.72999999998</v>
      </c>
      <c r="I208" s="18"/>
      <c r="J208" s="18"/>
      <c r="K208" s="18"/>
      <c r="L208" s="19">
        <f t="shared" si="0"/>
        <v>206581.72999999998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v>570</v>
      </c>
      <c r="L209" s="19">
        <f>SUM(F209:K209)</f>
        <v>570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2808477.36</v>
      </c>
      <c r="G211" s="41">
        <f t="shared" si="1"/>
        <v>1189645.9900000002</v>
      </c>
      <c r="H211" s="41">
        <f t="shared" si="1"/>
        <v>678369.55999999994</v>
      </c>
      <c r="I211" s="41">
        <f t="shared" si="1"/>
        <v>202475.58</v>
      </c>
      <c r="J211" s="41">
        <f t="shared" si="1"/>
        <v>86020.52</v>
      </c>
      <c r="K211" s="41">
        <f t="shared" si="1"/>
        <v>6018.1</v>
      </c>
      <c r="L211" s="41">
        <f t="shared" si="1"/>
        <v>4971007.1099999994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19973.189999999999</v>
      </c>
      <c r="I255" s="18"/>
      <c r="J255" s="18"/>
      <c r="K255" s="18"/>
      <c r="L255" s="19">
        <f t="shared" si="6"/>
        <v>19973.189999999999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19973.189999999999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19973.189999999999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2808477.36</v>
      </c>
      <c r="G257" s="41">
        <f t="shared" si="8"/>
        <v>1189645.9900000002</v>
      </c>
      <c r="H257" s="41">
        <f t="shared" si="8"/>
        <v>698342.74999999988</v>
      </c>
      <c r="I257" s="41">
        <f t="shared" si="8"/>
        <v>202475.58</v>
      </c>
      <c r="J257" s="41">
        <f t="shared" si="8"/>
        <v>86020.52</v>
      </c>
      <c r="K257" s="41">
        <f t="shared" si="8"/>
        <v>6018.1</v>
      </c>
      <c r="L257" s="41">
        <f t="shared" si="8"/>
        <v>4990980.3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55000</v>
      </c>
      <c r="L260" s="19">
        <f>SUM(F260:K260)</f>
        <v>55000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34396.5</v>
      </c>
      <c r="L261" s="19">
        <f>SUM(F261:K261)</f>
        <v>34396.5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12100</v>
      </c>
      <c r="L263" s="19">
        <f>SUM(F263:K263)</f>
        <v>12100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151496.5</v>
      </c>
      <c r="L270" s="41">
        <f t="shared" si="9"/>
        <v>151496.5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2808477.36</v>
      </c>
      <c r="G271" s="42">
        <f t="shared" si="11"/>
        <v>1189645.9900000002</v>
      </c>
      <c r="H271" s="42">
        <f t="shared" si="11"/>
        <v>698342.74999999988</v>
      </c>
      <c r="I271" s="42">
        <f t="shared" si="11"/>
        <v>202475.58</v>
      </c>
      <c r="J271" s="42">
        <f t="shared" si="11"/>
        <v>86020.52</v>
      </c>
      <c r="K271" s="42">
        <f t="shared" si="11"/>
        <v>157514.6</v>
      </c>
      <c r="L271" s="42">
        <f t="shared" si="11"/>
        <v>5142476.7999999998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356.25+11736.25</f>
        <v>12092.5</v>
      </c>
      <c r="G276" s="18">
        <f>27.26+50.45-2.49+897.86+91.22+39.83+50.07</f>
        <v>1154.1999999999998</v>
      </c>
      <c r="H276" s="18"/>
      <c r="I276" s="18"/>
      <c r="J276" s="18"/>
      <c r="K276" s="18"/>
      <c r="L276" s="19">
        <f>SUM(F276:K276)</f>
        <v>13246.7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18020.93</v>
      </c>
      <c r="G277" s="18">
        <f>31.2+64.3+1378.44+63.07+79.29</f>
        <v>1616.3</v>
      </c>
      <c r="H277" s="18">
        <f>975+11250+4000+342</f>
        <v>16567</v>
      </c>
      <c r="I277" s="18"/>
      <c r="J277" s="18"/>
      <c r="K277" s="18"/>
      <c r="L277" s="19">
        <f>SUM(F277:K277)</f>
        <v>36204.229999999996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3601+1311.75</f>
        <v>4912.75</v>
      </c>
      <c r="I282" s="18"/>
      <c r="J282" s="18"/>
      <c r="K282" s="18"/>
      <c r="L282" s="19">
        <f t="shared" si="12"/>
        <v>4912.75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481.25</v>
      </c>
      <c r="G283" s="18">
        <f>35.74+68.15</f>
        <v>103.89000000000001</v>
      </c>
      <c r="H283" s="18"/>
      <c r="I283" s="18"/>
      <c r="J283" s="18"/>
      <c r="K283" s="18">
        <f>9.06+103.17+272.18+20.48+739.82</f>
        <v>1144.71</v>
      </c>
      <c r="L283" s="19">
        <f t="shared" si="12"/>
        <v>1729.85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30594.68</v>
      </c>
      <c r="G290" s="42">
        <f t="shared" si="13"/>
        <v>2874.39</v>
      </c>
      <c r="H290" s="42">
        <f t="shared" si="13"/>
        <v>21479.75</v>
      </c>
      <c r="I290" s="42">
        <f t="shared" si="13"/>
        <v>0</v>
      </c>
      <c r="J290" s="42">
        <f t="shared" si="13"/>
        <v>0</v>
      </c>
      <c r="K290" s="42">
        <f t="shared" si="13"/>
        <v>1144.71</v>
      </c>
      <c r="L290" s="41">
        <f t="shared" si="13"/>
        <v>56093.529999999992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30594.68</v>
      </c>
      <c r="G338" s="41">
        <f t="shared" si="20"/>
        <v>2874.39</v>
      </c>
      <c r="H338" s="41">
        <f t="shared" si="20"/>
        <v>21479.75</v>
      </c>
      <c r="I338" s="41">
        <f t="shared" si="20"/>
        <v>0</v>
      </c>
      <c r="J338" s="41">
        <f t="shared" si="20"/>
        <v>0</v>
      </c>
      <c r="K338" s="41">
        <f t="shared" si="20"/>
        <v>1144.71</v>
      </c>
      <c r="L338" s="41">
        <f t="shared" si="20"/>
        <v>56093.529999999992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30594.68</v>
      </c>
      <c r="G352" s="41">
        <f>G338</f>
        <v>2874.39</v>
      </c>
      <c r="H352" s="41">
        <f>H338</f>
        <v>21479.75</v>
      </c>
      <c r="I352" s="41">
        <f>I338</f>
        <v>0</v>
      </c>
      <c r="J352" s="41">
        <f>J338</f>
        <v>0</v>
      </c>
      <c r="K352" s="47">
        <f>K338+K351</f>
        <v>1144.71</v>
      </c>
      <c r="L352" s="41">
        <f>L338+L351</f>
        <v>56093.529999999992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38500.02+31211.09+53.75</f>
        <v>69764.86</v>
      </c>
      <c r="G358" s="18"/>
      <c r="H358" s="18">
        <f>2441.41</f>
        <v>2441.41</v>
      </c>
      <c r="I358" s="18">
        <f>3715.5+44781.41+5970.86+335.93</f>
        <v>54803.700000000004</v>
      </c>
      <c r="J358" s="18">
        <v>969.96</v>
      </c>
      <c r="K358" s="18">
        <v>2642.5</v>
      </c>
      <c r="L358" s="13">
        <f>SUM(F358:K358)</f>
        <v>130622.43000000001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69764.86</v>
      </c>
      <c r="G362" s="47">
        <f t="shared" si="22"/>
        <v>0</v>
      </c>
      <c r="H362" s="47">
        <f t="shared" si="22"/>
        <v>2441.41</v>
      </c>
      <c r="I362" s="47">
        <f t="shared" si="22"/>
        <v>54803.700000000004</v>
      </c>
      <c r="J362" s="47">
        <f t="shared" si="22"/>
        <v>969.96</v>
      </c>
      <c r="K362" s="47">
        <f t="shared" si="22"/>
        <v>2642.5</v>
      </c>
      <c r="L362" s="47">
        <f t="shared" si="22"/>
        <v>130622.43000000001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44781.41+5970.86+335.93</f>
        <v>51088.200000000004</v>
      </c>
      <c r="G367" s="18"/>
      <c r="H367" s="18"/>
      <c r="I367" s="56">
        <f>SUM(F367:H367)</f>
        <v>51088.200000000004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3715.5</v>
      </c>
      <c r="G368" s="63"/>
      <c r="H368" s="63"/>
      <c r="I368" s="56">
        <f>SUM(F368:H368)</f>
        <v>3715.5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54803.700000000004</v>
      </c>
      <c r="G369" s="47">
        <f>SUM(G367:G368)</f>
        <v>0</v>
      </c>
      <c r="H369" s="47">
        <f>SUM(H367:H368)</f>
        <v>0</v>
      </c>
      <c r="I369" s="47">
        <f>SUM(I367:I368)</f>
        <v>54803.700000000004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629.44000000000005</v>
      </c>
      <c r="I396" s="18"/>
      <c r="J396" s="24" t="s">
        <v>289</v>
      </c>
      <c r="K396" s="24" t="s">
        <v>289</v>
      </c>
      <c r="L396" s="56">
        <f t="shared" si="26"/>
        <v>25629.439999999999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1459.37</v>
      </c>
      <c r="I397" s="18"/>
      <c r="J397" s="24" t="s">
        <v>289</v>
      </c>
      <c r="K397" s="24" t="s">
        <v>289</v>
      </c>
      <c r="L397" s="56">
        <f t="shared" si="26"/>
        <v>26459.37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35.21</v>
      </c>
      <c r="I399" s="18"/>
      <c r="J399" s="24" t="s">
        <v>289</v>
      </c>
      <c r="K399" s="24" t="s">
        <v>289</v>
      </c>
      <c r="L399" s="56">
        <f t="shared" si="26"/>
        <v>35.21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2124.02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52124.02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2124.02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52124.02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104811.1</v>
      </c>
      <c r="H439" s="18"/>
      <c r="I439" s="56">
        <f t="shared" ref="I439:I445" si="33">SUM(F439:H439)</f>
        <v>104811.1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104811.1</v>
      </c>
      <c r="H446" s="13">
        <f>SUM(H439:H445)</f>
        <v>0</v>
      </c>
      <c r="I446" s="13">
        <f>SUM(I439:I445)</f>
        <v>104811.1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104811.1</v>
      </c>
      <c r="H459" s="18"/>
      <c r="I459" s="56">
        <f t="shared" si="34"/>
        <v>104811.1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104811.1</v>
      </c>
      <c r="H460" s="83">
        <f>SUM(H454:H459)</f>
        <v>0</v>
      </c>
      <c r="I460" s="83">
        <f>SUM(I454:I459)</f>
        <v>104811.1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104811.1</v>
      </c>
      <c r="H461" s="42">
        <f>H452+H460</f>
        <v>0</v>
      </c>
      <c r="I461" s="42">
        <f>I452+I460</f>
        <v>104811.1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300099.24</v>
      </c>
      <c r="G465" s="18">
        <v>2656.06</v>
      </c>
      <c r="H465" s="18">
        <v>0</v>
      </c>
      <c r="I465" s="18">
        <v>0</v>
      </c>
      <c r="J465" s="18">
        <v>52687.08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5046191.66</v>
      </c>
      <c r="G468" s="18">
        <v>130332.99</v>
      </c>
      <c r="H468" s="18">
        <v>56093.53</v>
      </c>
      <c r="I468" s="18"/>
      <c r="J468" s="18">
        <v>52124.02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5046191.66</v>
      </c>
      <c r="G470" s="53">
        <f>SUM(G468:G469)</f>
        <v>130332.99</v>
      </c>
      <c r="H470" s="53">
        <f>SUM(H468:H469)</f>
        <v>56093.53</v>
      </c>
      <c r="I470" s="53">
        <f>SUM(I468:I469)</f>
        <v>0</v>
      </c>
      <c r="J470" s="53">
        <f>SUM(J468:J469)</f>
        <v>52124.02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5142476.7999999998</v>
      </c>
      <c r="G472" s="18">
        <v>130622.43</v>
      </c>
      <c r="H472" s="18">
        <v>56093.53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0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5142476.7999999998</v>
      </c>
      <c r="G474" s="53">
        <f>SUM(G472:G473)</f>
        <v>130622.43</v>
      </c>
      <c r="H474" s="53">
        <f>SUM(H472:H473)</f>
        <v>56093.53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203814.10000000056</v>
      </c>
      <c r="G476" s="53">
        <f>(G465+G470)- G474</f>
        <v>2366.6200000000244</v>
      </c>
      <c r="H476" s="53">
        <f>(H465+H470)- H474</f>
        <v>0</v>
      </c>
      <c r="I476" s="53">
        <f>(I465+I470)- I474</f>
        <v>0</v>
      </c>
      <c r="J476" s="53">
        <f>(J465+J470)- J474</f>
        <v>104811.1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1468000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785000</v>
      </c>
      <c r="G495" s="18"/>
      <c r="H495" s="18"/>
      <c r="I495" s="18"/>
      <c r="J495" s="18"/>
      <c r="K495" s="53">
        <f>SUM(F495:J495)</f>
        <v>785000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84396.5</v>
      </c>
      <c r="G497" s="18"/>
      <c r="H497" s="18"/>
      <c r="I497" s="18"/>
      <c r="J497" s="18"/>
      <c r="K497" s="53">
        <f t="shared" si="35"/>
        <v>84396.5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730000</v>
      </c>
      <c r="G498" s="204"/>
      <c r="H498" s="204"/>
      <c r="I498" s="204"/>
      <c r="J498" s="204"/>
      <c r="K498" s="205">
        <f t="shared" si="35"/>
        <v>730000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177321.25</v>
      </c>
      <c r="G499" s="18"/>
      <c r="H499" s="18"/>
      <c r="I499" s="18"/>
      <c r="J499" s="18"/>
      <c r="K499" s="53">
        <f t="shared" si="35"/>
        <v>177321.25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907321.25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907321.25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60000</v>
      </c>
      <c r="G501" s="204"/>
      <c r="H501" s="204"/>
      <c r="I501" s="204"/>
      <c r="J501" s="204"/>
      <c r="K501" s="205">
        <f t="shared" si="35"/>
        <v>60000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31521.5</v>
      </c>
      <c r="G502" s="18"/>
      <c r="H502" s="18"/>
      <c r="I502" s="18"/>
      <c r="J502" s="18"/>
      <c r="K502" s="53">
        <f t="shared" si="35"/>
        <v>31521.5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91521.5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91521.5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296161.42+171134.94+18020.93</f>
        <v>485317.29</v>
      </c>
      <c r="G521" s="18">
        <f>107110.56+78443.59+1616.3</f>
        <v>187170.44999999998</v>
      </c>
      <c r="H521" s="18">
        <f>190348.29-4880.86+16567</f>
        <v>202034.43000000002</v>
      </c>
      <c r="I521" s="18">
        <v>1389.72</v>
      </c>
      <c r="J521" s="18">
        <v>199.99</v>
      </c>
      <c r="K521" s="18"/>
      <c r="L521" s="88">
        <f>SUM(F521:K521)</f>
        <v>876111.88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485317.29</v>
      </c>
      <c r="G524" s="108">
        <f t="shared" ref="G524:L524" si="36">SUM(G521:G523)</f>
        <v>187170.44999999998</v>
      </c>
      <c r="H524" s="108">
        <f t="shared" si="36"/>
        <v>202034.43000000002</v>
      </c>
      <c r="I524" s="108">
        <f t="shared" si="36"/>
        <v>1389.72</v>
      </c>
      <c r="J524" s="108">
        <f t="shared" si="36"/>
        <v>199.99</v>
      </c>
      <c r="K524" s="108">
        <f t="shared" si="36"/>
        <v>0</v>
      </c>
      <c r="L524" s="89">
        <f t="shared" si="36"/>
        <v>876111.88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76594.94</v>
      </c>
      <c r="G526" s="18">
        <v>26071.75</v>
      </c>
      <c r="H526" s="18"/>
      <c r="I526" s="18"/>
      <c r="J526" s="18"/>
      <c r="K526" s="18"/>
      <c r="L526" s="88">
        <f>SUM(F526:K526)</f>
        <v>102666.69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76594.94</v>
      </c>
      <c r="G529" s="89">
        <f t="shared" ref="G529:L529" si="37">SUM(G526:G528)</f>
        <v>26071.75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102666.69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86230.77+23564.75</f>
        <v>109795.52</v>
      </c>
      <c r="G531" s="18">
        <f>38395.27+6320.57</f>
        <v>44715.839999999997</v>
      </c>
      <c r="H531" s="18"/>
      <c r="I531" s="18"/>
      <c r="J531" s="18"/>
      <c r="K531" s="18">
        <v>954.5</v>
      </c>
      <c r="L531" s="88">
        <f>SUM(F531:K531)</f>
        <v>155465.85999999999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109795.52</v>
      </c>
      <c r="G534" s="89">
        <f t="shared" ref="G534:L534" si="38">SUM(G531:G533)</f>
        <v>44715.839999999997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954.5</v>
      </c>
      <c r="L534" s="89">
        <f t="shared" si="38"/>
        <v>155465.85999999999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4880.8599999999997</v>
      </c>
      <c r="I536" s="18"/>
      <c r="J536" s="18"/>
      <c r="K536" s="18"/>
      <c r="L536" s="88">
        <f>SUM(F536:K536)</f>
        <v>4880.8599999999997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4880.8599999999997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4880.8599999999997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2192.4</v>
      </c>
      <c r="I541" s="18"/>
      <c r="J541" s="18"/>
      <c r="K541" s="18"/>
      <c r="L541" s="88">
        <f>SUM(F541:K541)</f>
        <v>2192.4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2192.4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2192.4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671707.75</v>
      </c>
      <c r="G545" s="89">
        <f t="shared" ref="G545:L545" si="41">G524+G529+G534+G539+G544</f>
        <v>257958.03999999998</v>
      </c>
      <c r="H545" s="89">
        <f t="shared" si="41"/>
        <v>209107.69</v>
      </c>
      <c r="I545" s="89">
        <f t="shared" si="41"/>
        <v>1389.72</v>
      </c>
      <c r="J545" s="89">
        <f t="shared" si="41"/>
        <v>199.99</v>
      </c>
      <c r="K545" s="89">
        <f t="shared" si="41"/>
        <v>954.5</v>
      </c>
      <c r="L545" s="89">
        <f t="shared" si="41"/>
        <v>1141317.6900000002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876111.88</v>
      </c>
      <c r="G549" s="87">
        <f>L526</f>
        <v>102666.69</v>
      </c>
      <c r="H549" s="87">
        <f>L531</f>
        <v>155465.85999999999</v>
      </c>
      <c r="I549" s="87">
        <f>L536</f>
        <v>4880.8599999999997</v>
      </c>
      <c r="J549" s="87">
        <f>L541</f>
        <v>2192.4</v>
      </c>
      <c r="K549" s="87">
        <f>SUM(F549:J549)</f>
        <v>1141317.6900000002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876111.88</v>
      </c>
      <c r="G552" s="89">
        <f t="shared" si="42"/>
        <v>102666.69</v>
      </c>
      <c r="H552" s="89">
        <f t="shared" si="42"/>
        <v>155465.85999999999</v>
      </c>
      <c r="I552" s="89">
        <f t="shared" si="42"/>
        <v>4880.8599999999997</v>
      </c>
      <c r="J552" s="89">
        <f t="shared" si="42"/>
        <v>2192.4</v>
      </c>
      <c r="K552" s="89">
        <f t="shared" si="42"/>
        <v>1141317.6900000002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8563</v>
      </c>
      <c r="G582" s="18"/>
      <c r="H582" s="18"/>
      <c r="I582" s="87">
        <f t="shared" si="47"/>
        <v>8563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195278.55</v>
      </c>
      <c r="I591" s="18"/>
      <c r="J591" s="18"/>
      <c r="K591" s="104">
        <f t="shared" ref="K591:K597" si="48">SUM(H591:J591)</f>
        <v>195278.55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2192.4</v>
      </c>
      <c r="I592" s="18"/>
      <c r="J592" s="18"/>
      <c r="K592" s="104">
        <f t="shared" si="48"/>
        <v>2192.4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4210.05</v>
      </c>
      <c r="I594" s="18"/>
      <c r="J594" s="18"/>
      <c r="K594" s="104">
        <f t="shared" si="48"/>
        <v>4210.05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4900.7299999999996</v>
      </c>
      <c r="I595" s="18"/>
      <c r="J595" s="18"/>
      <c r="K595" s="104">
        <f t="shared" si="48"/>
        <v>4900.7299999999996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206581.72999999998</v>
      </c>
      <c r="I598" s="108">
        <f>SUM(I591:I597)</f>
        <v>0</v>
      </c>
      <c r="J598" s="108">
        <f>SUM(J591:J597)</f>
        <v>0</v>
      </c>
      <c r="K598" s="108">
        <f>SUM(K591:K597)</f>
        <v>206581.72999999998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50445.22</v>
      </c>
      <c r="I603" s="18"/>
      <c r="J603" s="18"/>
      <c r="K603" s="104">
        <f>SUM(H603:J603)</f>
        <v>50445.22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86020.52-50445.22</f>
        <v>35575.300000000003</v>
      </c>
      <c r="I604" s="18"/>
      <c r="J604" s="18"/>
      <c r="K604" s="104">
        <f>SUM(H604:J604)</f>
        <v>35575.300000000003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86020.52</v>
      </c>
      <c r="I605" s="108">
        <f>SUM(I602:I604)</f>
        <v>0</v>
      </c>
      <c r="J605" s="108">
        <f>SUM(J602:J604)</f>
        <v>0</v>
      </c>
      <c r="K605" s="108">
        <f>SUM(K602:K604)</f>
        <v>86020.52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283566.26</v>
      </c>
      <c r="H617" s="109">
        <f>SUM(F52)</f>
        <v>283566.26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6808.47</v>
      </c>
      <c r="H618" s="109">
        <f>SUM(G52)</f>
        <v>6808.47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9067.36</v>
      </c>
      <c r="H619" s="109">
        <f>SUM(H52)</f>
        <v>9067.36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104811.1</v>
      </c>
      <c r="H621" s="109">
        <f>SUM(J52)</f>
        <v>104811.1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203814.1</v>
      </c>
      <c r="H622" s="109">
        <f>F476</f>
        <v>203814.10000000056</v>
      </c>
      <c r="I622" s="121" t="s">
        <v>101</v>
      </c>
      <c r="J622" s="109">
        <f t="shared" ref="J622:J655" si="50">G622-H622</f>
        <v>-5.5297277867794037E-10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2366.62</v>
      </c>
      <c r="H623" s="109">
        <f>G476</f>
        <v>2366.6200000000244</v>
      </c>
      <c r="I623" s="121" t="s">
        <v>102</v>
      </c>
      <c r="J623" s="109">
        <f t="shared" si="50"/>
        <v>-2.4556356947869062E-11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104811.1</v>
      </c>
      <c r="H626" s="109">
        <f>J476</f>
        <v>104811.1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5046191.66</v>
      </c>
      <c r="H627" s="104">
        <f>SUM(F468)</f>
        <v>5046191.66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130332.99000000002</v>
      </c>
      <c r="H628" s="104">
        <f>SUM(G468)</f>
        <v>130332.99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56093.530000000006</v>
      </c>
      <c r="H629" s="104">
        <f>SUM(H468)</f>
        <v>56093.53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52124.02</v>
      </c>
      <c r="H631" s="104">
        <f>SUM(J468)</f>
        <v>52124.02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5142476.7999999998</v>
      </c>
      <c r="H632" s="104">
        <f>SUM(F472)</f>
        <v>5142476.7999999998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56093.529999999992</v>
      </c>
      <c r="H633" s="104">
        <f>SUM(H472)</f>
        <v>56093.53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54803.700000000004</v>
      </c>
      <c r="H634" s="104">
        <f>I369</f>
        <v>54803.700000000004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130622.43000000001</v>
      </c>
      <c r="H635" s="104">
        <f>SUM(G472)</f>
        <v>130622.43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52124.02</v>
      </c>
      <c r="H637" s="164">
        <f>SUM(J468)</f>
        <v>52124.02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104811.1</v>
      </c>
      <c r="H640" s="104">
        <f>SUM(G461)</f>
        <v>104811.1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104811.1</v>
      </c>
      <c r="H642" s="104">
        <f>SUM(I461)</f>
        <v>104811.1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2124.02</v>
      </c>
      <c r="H644" s="104">
        <f>H408</f>
        <v>2124.02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52124.02</v>
      </c>
      <c r="H646" s="104">
        <f>L408</f>
        <v>52124.02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206581.72999999998</v>
      </c>
      <c r="H647" s="104">
        <f>L208+L226+L244</f>
        <v>206581.72999999998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86020.52</v>
      </c>
      <c r="H648" s="104">
        <f>(J257+J338)-(J255+J336)</f>
        <v>86020.52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206581.72999999998</v>
      </c>
      <c r="H649" s="104">
        <f>H598</f>
        <v>206581.72999999998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12100</v>
      </c>
      <c r="H652" s="104">
        <f>K263+K345</f>
        <v>12100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5157723.0699999994</v>
      </c>
      <c r="G660" s="19">
        <f>(L229+L309+L359)</f>
        <v>0</v>
      </c>
      <c r="H660" s="19">
        <f>(L247+L328+L360)</f>
        <v>0</v>
      </c>
      <c r="I660" s="19">
        <f>SUM(F660:H660)</f>
        <v>5157723.0699999994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94917.37000000001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94917.37000000001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206581.72999999998</v>
      </c>
      <c r="G662" s="19">
        <f>(L226+L306)-(J226+J306)</f>
        <v>0</v>
      </c>
      <c r="H662" s="19">
        <f>(L244+L325)-(J244+J325)</f>
        <v>0</v>
      </c>
      <c r="I662" s="19">
        <f>SUM(F662:H662)</f>
        <v>206581.72999999998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94583.52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94583.52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4761640.4499999993</v>
      </c>
      <c r="G664" s="19">
        <f>G660-SUM(G661:G663)</f>
        <v>0</v>
      </c>
      <c r="H664" s="19">
        <f>H660-SUM(H661:H663)</f>
        <v>0</v>
      </c>
      <c r="I664" s="19">
        <f>I660-SUM(I661:I663)</f>
        <v>4761640.4499999993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255.98</v>
      </c>
      <c r="G665" s="248"/>
      <c r="H665" s="248"/>
      <c r="I665" s="19">
        <f>SUM(F665:H665)</f>
        <v>255.98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18601.61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18601.61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18601.61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18601.61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HAMPTON FALLS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1590788.06</v>
      </c>
      <c r="C9" s="229">
        <f>'DOE25'!G197+'DOE25'!G215+'DOE25'!G233+'DOE25'!G276+'DOE25'!G295+'DOE25'!G314</f>
        <v>706378.87</v>
      </c>
    </row>
    <row r="10" spans="1:3" x14ac:dyDescent="0.2">
      <c r="A10" t="s">
        <v>779</v>
      </c>
      <c r="B10" s="240">
        <f>1511020.31+11736.25</f>
        <v>1522756.56</v>
      </c>
      <c r="C10" s="240">
        <f>1078.98+678276.26+20</f>
        <v>679375.24</v>
      </c>
    </row>
    <row r="11" spans="1:3" x14ac:dyDescent="0.2">
      <c r="A11" t="s">
        <v>780</v>
      </c>
      <c r="B11" s="240">
        <f>21895.09+125</f>
        <v>22020.09</v>
      </c>
      <c r="C11" s="240">
        <v>23226.07</v>
      </c>
    </row>
    <row r="12" spans="1:3" x14ac:dyDescent="0.2">
      <c r="A12" t="s">
        <v>781</v>
      </c>
      <c r="B12" s="240">
        <f>14232.6+31422.56+356.25</f>
        <v>46011.41</v>
      </c>
      <c r="C12" s="240">
        <f>75.22+1157.11+2545.23</f>
        <v>3777.56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1590788.06</v>
      </c>
      <c r="C13" s="231">
        <f>SUM(C10:C12)</f>
        <v>706378.87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671707.75</v>
      </c>
      <c r="C18" s="229">
        <f>'DOE25'!G198+'DOE25'!G216+'DOE25'!G234+'DOE25'!G277+'DOE25'!G296+'DOE25'!G315</f>
        <v>257958.05</v>
      </c>
    </row>
    <row r="19" spans="1:3" x14ac:dyDescent="0.2">
      <c r="A19" t="s">
        <v>779</v>
      </c>
      <c r="B19" s="240">
        <f>296161.42+76594.94</f>
        <v>372756.36</v>
      </c>
      <c r="C19" s="240">
        <f>107110.56+26071.75+0.01</f>
        <v>133182.32</v>
      </c>
    </row>
    <row r="20" spans="1:3" x14ac:dyDescent="0.2">
      <c r="A20" t="s">
        <v>780</v>
      </c>
      <c r="B20" s="240">
        <f>171134.94+18020.93</f>
        <v>189155.87</v>
      </c>
      <c r="C20" s="240">
        <f>1616.3+78443.59</f>
        <v>80059.89</v>
      </c>
    </row>
    <row r="21" spans="1:3" x14ac:dyDescent="0.2">
      <c r="A21" t="s">
        <v>781</v>
      </c>
      <c r="B21" s="240">
        <f>86230.77+23564.75</f>
        <v>109795.52</v>
      </c>
      <c r="C21" s="240">
        <v>44715.839999999997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671707.75</v>
      </c>
      <c r="C22" s="231">
        <f>SUM(C19:C21)</f>
        <v>257958.05000000002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35799.5</v>
      </c>
      <c r="C36" s="235">
        <f>'DOE25'!G200+'DOE25'!G218+'DOE25'!G236+'DOE25'!G279+'DOE25'!G298+'DOE25'!G317</f>
        <v>2899.76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35799.5</v>
      </c>
      <c r="C39" s="240">
        <v>2899.76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35799.5</v>
      </c>
      <c r="C40" s="231">
        <f>SUM(C37:C39)</f>
        <v>2899.76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C21" sqref="C2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HAMPTON FALLS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3505081.0899999994</v>
      </c>
      <c r="D5" s="20">
        <f>SUM('DOE25'!L197:L200)+SUM('DOE25'!L215:L218)+SUM('DOE25'!L233:L236)-F5-G5</f>
        <v>3497679.7599999993</v>
      </c>
      <c r="E5" s="243"/>
      <c r="F5" s="255">
        <f>SUM('DOE25'!J197:J200)+SUM('DOE25'!J215:J218)+SUM('DOE25'!J233:J236)</f>
        <v>6446.83</v>
      </c>
      <c r="G5" s="53">
        <f>SUM('DOE25'!K197:K200)+SUM('DOE25'!K215:K218)+SUM('DOE25'!K233:K236)</f>
        <v>954.5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149093.74999999997</v>
      </c>
      <c r="D6" s="20">
        <f>'DOE25'!L202+'DOE25'!L220+'DOE25'!L238-F6-G6</f>
        <v>149093.74999999997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252819.33999999997</v>
      </c>
      <c r="D7" s="20">
        <f>'DOE25'!L203+'DOE25'!L221+'DOE25'!L239-F7-G7</f>
        <v>233958.12999999998</v>
      </c>
      <c r="E7" s="243"/>
      <c r="F7" s="255">
        <f>'DOE25'!J203+'DOE25'!J221+'DOE25'!J239</f>
        <v>18861.21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72204.649999999994</v>
      </c>
      <c r="D8" s="243"/>
      <c r="E8" s="20">
        <f>'DOE25'!L204+'DOE25'!L222+'DOE25'!L240-F8-G8-D9-D11</f>
        <v>68243.549999999988</v>
      </c>
      <c r="F8" s="255">
        <f>'DOE25'!J204+'DOE25'!J222+'DOE25'!J240</f>
        <v>0</v>
      </c>
      <c r="G8" s="53">
        <f>'DOE25'!K204+'DOE25'!K222+'DOE25'!K240</f>
        <v>3961.1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39797.21</v>
      </c>
      <c r="D9" s="244">
        <v>39797.21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7600</v>
      </c>
      <c r="D10" s="243"/>
      <c r="E10" s="244">
        <v>7600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34138.85</v>
      </c>
      <c r="D11" s="244">
        <v>34138.85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208550.41</v>
      </c>
      <c r="D12" s="20">
        <f>'DOE25'!L205+'DOE25'!L223+'DOE25'!L241-F12-G12</f>
        <v>208017.91</v>
      </c>
      <c r="E12" s="243"/>
      <c r="F12" s="255">
        <f>'DOE25'!J205+'DOE25'!J223+'DOE25'!J241</f>
        <v>0</v>
      </c>
      <c r="G12" s="53">
        <f>'DOE25'!K205+'DOE25'!K223+'DOE25'!K241</f>
        <v>532.5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502170.07999999996</v>
      </c>
      <c r="D14" s="20">
        <f>'DOE25'!L207+'DOE25'!L225+'DOE25'!L243-F14-G14</f>
        <v>441457.6</v>
      </c>
      <c r="E14" s="243"/>
      <c r="F14" s="255">
        <f>'DOE25'!J207+'DOE25'!J225+'DOE25'!J243</f>
        <v>60712.480000000003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206581.72999999998</v>
      </c>
      <c r="D15" s="20">
        <f>'DOE25'!L208+'DOE25'!L226+'DOE25'!L244-F15-G15</f>
        <v>206581.72999999998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570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570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19973.189999999999</v>
      </c>
      <c r="D22" s="243"/>
      <c r="E22" s="243"/>
      <c r="F22" s="255">
        <f>'DOE25'!L255+'DOE25'!L336</f>
        <v>19973.189999999999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89396.5</v>
      </c>
      <c r="D25" s="243"/>
      <c r="E25" s="243"/>
      <c r="F25" s="258"/>
      <c r="G25" s="256"/>
      <c r="H25" s="257">
        <f>'DOE25'!L260+'DOE25'!L261+'DOE25'!L341+'DOE25'!L342</f>
        <v>89396.5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79534.23000000001</v>
      </c>
      <c r="D29" s="20">
        <f>'DOE25'!L358+'DOE25'!L359+'DOE25'!L360-'DOE25'!I367-F29-G29</f>
        <v>75921.77</v>
      </c>
      <c r="E29" s="243"/>
      <c r="F29" s="255">
        <f>'DOE25'!J358+'DOE25'!J359+'DOE25'!J360</f>
        <v>969.96</v>
      </c>
      <c r="G29" s="53">
        <f>'DOE25'!K358+'DOE25'!K359+'DOE25'!K360</f>
        <v>2642.5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56093.529999999992</v>
      </c>
      <c r="D31" s="20">
        <f>'DOE25'!L290+'DOE25'!L309+'DOE25'!L328+'DOE25'!L333+'DOE25'!L334+'DOE25'!L335-F31-G31</f>
        <v>54948.819999999992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1144.71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4941595.5299999993</v>
      </c>
      <c r="E33" s="246">
        <f>SUM(E5:E31)</f>
        <v>75843.549999999988</v>
      </c>
      <c r="F33" s="246">
        <f>SUM(F5:F31)</f>
        <v>106963.67000000001</v>
      </c>
      <c r="G33" s="246">
        <f>SUM(G5:G31)</f>
        <v>9805.3100000000013</v>
      </c>
      <c r="H33" s="246">
        <f>SUM(H5:H31)</f>
        <v>89396.5</v>
      </c>
    </row>
    <row r="35" spans="2:8" ht="12" thickBot="1" x14ac:dyDescent="0.25">
      <c r="B35" s="253" t="s">
        <v>847</v>
      </c>
      <c r="D35" s="254">
        <f>E33</f>
        <v>75843.549999999988</v>
      </c>
      <c r="E35" s="249"/>
    </row>
    <row r="36" spans="2:8" ht="12" thickTop="1" x14ac:dyDescent="0.2">
      <c r="B36" t="s">
        <v>815</v>
      </c>
      <c r="D36" s="20">
        <f>D33</f>
        <v>4941595.5299999993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FALLS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269068.69999999995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104811.1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5538.83</v>
      </c>
      <c r="D11" s="95">
        <f>'DOE25'!G12</f>
        <v>3089.2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5796.2</v>
      </c>
      <c r="D12" s="95">
        <f>'DOE25'!G13</f>
        <v>1402.31</v>
      </c>
      <c r="E12" s="95">
        <f>'DOE25'!H13</f>
        <v>9067.36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3162.53</v>
      </c>
      <c r="D13" s="95">
        <f>'DOE25'!G14</f>
        <v>52.26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2264.6999999999998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283566.26</v>
      </c>
      <c r="D18" s="41">
        <f>SUM(D8:D17)</f>
        <v>6808.47</v>
      </c>
      <c r="E18" s="41">
        <f>SUM(E8:E17)</f>
        <v>9067.36</v>
      </c>
      <c r="F18" s="41">
        <f>SUM(F8:F17)</f>
        <v>0</v>
      </c>
      <c r="G18" s="41">
        <f>SUM(G8:G17)</f>
        <v>104811.1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8628.0300000000007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14185.92</v>
      </c>
      <c r="D23" s="95">
        <f>'DOE25'!G24</f>
        <v>29.81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12311.61</v>
      </c>
      <c r="D27" s="95">
        <f>'DOE25'!G28</f>
        <v>716.12</v>
      </c>
      <c r="E27" s="95">
        <f>'DOE25'!H28</f>
        <v>439.33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17644.63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35610</v>
      </c>
      <c r="D29" s="95">
        <f>'DOE25'!G30</f>
        <v>3695.92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79752.160000000003</v>
      </c>
      <c r="D31" s="41">
        <f>SUM(D21:D30)</f>
        <v>4441.8500000000004</v>
      </c>
      <c r="E31" s="41">
        <f>SUM(E21:E30)</f>
        <v>9067.36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2264.6999999999998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101.92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104811.1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61607.5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92206.6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203814.1</v>
      </c>
      <c r="D50" s="41">
        <f>SUM(D34:D49)</f>
        <v>2366.62</v>
      </c>
      <c r="E50" s="41">
        <f>SUM(E34:E49)</f>
        <v>0</v>
      </c>
      <c r="F50" s="41">
        <f>SUM(F34:F49)</f>
        <v>0</v>
      </c>
      <c r="G50" s="41">
        <f>SUM(G34:G49)</f>
        <v>104811.1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283566.26</v>
      </c>
      <c r="D51" s="41">
        <f>D50+D31</f>
        <v>6808.47</v>
      </c>
      <c r="E51" s="41">
        <f>E50+E31</f>
        <v>9067.36</v>
      </c>
      <c r="F51" s="41">
        <f>F50+F31</f>
        <v>0</v>
      </c>
      <c r="G51" s="41">
        <f>G50+G31</f>
        <v>104811.1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4121189.98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52.5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2124.02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94917.37000000001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59580.29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59632.79</v>
      </c>
      <c r="D62" s="130">
        <f>SUM(D57:D61)</f>
        <v>94917.37000000001</v>
      </c>
      <c r="E62" s="130">
        <f>SUM(E57:E61)</f>
        <v>0</v>
      </c>
      <c r="F62" s="130">
        <f>SUM(F57:F61)</f>
        <v>0</v>
      </c>
      <c r="G62" s="130">
        <f>SUM(G57:G61)</f>
        <v>2124.02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4180822.77</v>
      </c>
      <c r="D63" s="22">
        <f>D56+D62</f>
        <v>94917.37000000001</v>
      </c>
      <c r="E63" s="22">
        <f>E56+E62</f>
        <v>0</v>
      </c>
      <c r="F63" s="22">
        <f>F56+F62</f>
        <v>0</v>
      </c>
      <c r="G63" s="22">
        <f>G56+G62</f>
        <v>2124.02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120386.76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720106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840492.76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1329.08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1329.08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840492.76</v>
      </c>
      <c r="D81" s="130">
        <f>SUM(D79:D80)+D78+D70</f>
        <v>1329.08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24876.13</v>
      </c>
      <c r="D88" s="95">
        <f>SUM('DOE25'!G153:G161)</f>
        <v>16015.68</v>
      </c>
      <c r="E88" s="95">
        <f>SUM('DOE25'!H153:H161)</f>
        <v>56093.530000000006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5970.86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24876.13</v>
      </c>
      <c r="D91" s="131">
        <f>SUM(D85:D90)</f>
        <v>21986.54</v>
      </c>
      <c r="E91" s="131">
        <f>SUM(E85:E90)</f>
        <v>56093.530000000006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12100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12100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5046191.66</v>
      </c>
      <c r="D104" s="86">
        <f>D63+D81+D91+D103</f>
        <v>130332.99000000002</v>
      </c>
      <c r="E104" s="86">
        <f>E63+E81+E91+E103</f>
        <v>56093.530000000006</v>
      </c>
      <c r="F104" s="86">
        <f>F63+F81+F91+F103</f>
        <v>0</v>
      </c>
      <c r="G104" s="86">
        <f>G63+G81+G103</f>
        <v>52124.02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2347621.4599999995</v>
      </c>
      <c r="D109" s="24" t="s">
        <v>289</v>
      </c>
      <c r="E109" s="95">
        <f>('DOE25'!L276)+('DOE25'!L295)+('DOE25'!L314)</f>
        <v>13246.7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1102921.0699999998</v>
      </c>
      <c r="D110" s="24" t="s">
        <v>289</v>
      </c>
      <c r="E110" s="95">
        <f>('DOE25'!L277)+('DOE25'!L296)+('DOE25'!L315)</f>
        <v>36204.229999999996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54538.560000000005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3505081.0899999994</v>
      </c>
      <c r="D115" s="86">
        <f>SUM(D109:D114)</f>
        <v>0</v>
      </c>
      <c r="E115" s="86">
        <f>SUM(E109:E114)</f>
        <v>49450.929999999993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149093.74999999997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252819.33999999997</v>
      </c>
      <c r="D119" s="24" t="s">
        <v>289</v>
      </c>
      <c r="E119" s="95">
        <f>+('DOE25'!L282)+('DOE25'!L301)+('DOE25'!L320)</f>
        <v>4912.75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146140.71</v>
      </c>
      <c r="D120" s="24" t="s">
        <v>289</v>
      </c>
      <c r="E120" s="95">
        <f>+('DOE25'!L283)+('DOE25'!L302)+('DOE25'!L321)</f>
        <v>1729.85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208550.41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502170.07999999996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206581.72999999998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570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130622.43000000001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1465926.02</v>
      </c>
      <c r="D128" s="86">
        <f>SUM(D118:D127)</f>
        <v>130622.43000000001</v>
      </c>
      <c r="E128" s="86">
        <f>SUM(E118:E127)</f>
        <v>6642.6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19973.189999999999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34396.5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12100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52124.02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-2124.0199999999968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171469.69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5142476.7999999998</v>
      </c>
      <c r="D145" s="86">
        <f>(D115+D128+D144)</f>
        <v>130622.43000000001</v>
      </c>
      <c r="E145" s="86">
        <f>(E115+E128+E144)</f>
        <v>56093.529999999992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August 2004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August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1468000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785000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785000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84396.5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84396.5</v>
      </c>
    </row>
    <row r="159" spans="1:9" x14ac:dyDescent="0.2">
      <c r="A159" s="22" t="s">
        <v>35</v>
      </c>
      <c r="B159" s="137">
        <f>'DOE25'!F498</f>
        <v>730000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730000</v>
      </c>
    </row>
    <row r="160" spans="1:9" x14ac:dyDescent="0.2">
      <c r="A160" s="22" t="s">
        <v>36</v>
      </c>
      <c r="B160" s="137">
        <f>'DOE25'!F499</f>
        <v>177321.25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177321.25</v>
      </c>
    </row>
    <row r="161" spans="1:7" x14ac:dyDescent="0.2">
      <c r="A161" s="22" t="s">
        <v>37</v>
      </c>
      <c r="B161" s="137">
        <f>'DOE25'!F500</f>
        <v>907321.25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907321.25</v>
      </c>
    </row>
    <row r="162" spans="1:7" x14ac:dyDescent="0.2">
      <c r="A162" s="22" t="s">
        <v>38</v>
      </c>
      <c r="B162" s="137">
        <f>'DOE25'!F501</f>
        <v>60000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60000</v>
      </c>
    </row>
    <row r="163" spans="1:7" x14ac:dyDescent="0.2">
      <c r="A163" s="22" t="s">
        <v>39</v>
      </c>
      <c r="B163" s="137">
        <f>'DOE25'!F502</f>
        <v>31521.5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31521.5</v>
      </c>
    </row>
    <row r="164" spans="1:7" x14ac:dyDescent="0.2">
      <c r="A164" s="22" t="s">
        <v>246</v>
      </c>
      <c r="B164" s="137">
        <f>'DOE25'!F503</f>
        <v>91521.5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91521.5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HAMPTON FALLS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18602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18602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2360868</v>
      </c>
      <c r="D10" s="182">
        <f>ROUND((C10/$C$28)*100,1)</f>
        <v>46.3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1139125</v>
      </c>
      <c r="D11" s="182">
        <f>ROUND((C11/$C$28)*100,1)</f>
        <v>22.3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54539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149094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257732</v>
      </c>
      <c r="D16" s="182">
        <f t="shared" si="0"/>
        <v>5.0999999999999996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148441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208550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502170</v>
      </c>
      <c r="D20" s="182">
        <f t="shared" si="0"/>
        <v>9.9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206582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34397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35704.62999999999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5097202.63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19973</v>
      </c>
    </row>
    <row r="30" spans="1:4" x14ac:dyDescent="0.2">
      <c r="B30" s="187" t="s">
        <v>729</v>
      </c>
      <c r="C30" s="180">
        <f>SUM(C28:C29)</f>
        <v>5117175.63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4121190</v>
      </c>
      <c r="D35" s="182">
        <f t="shared" ref="D35:D40" si="1">ROUND((C35/$C$41)*100,1)</f>
        <v>80.400000000000006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61756.789999999106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840493</v>
      </c>
      <c r="D37" s="182">
        <f t="shared" si="1"/>
        <v>16.399999999999999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1329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102956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5127724.7899999991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6" sqref="B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HAMPTON FALLS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5</v>
      </c>
      <c r="B5" s="219">
        <v>14</v>
      </c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2015-09-02T18:03:21Z</cp:lastPrinted>
  <dcterms:created xsi:type="dcterms:W3CDTF">1997-12-04T19:04:30Z</dcterms:created>
  <dcterms:modified xsi:type="dcterms:W3CDTF">2015-09-03T12:08:33Z</dcterms:modified>
</cp:coreProperties>
</file>