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315" yWindow="0" windowWidth="25365" windowHeight="15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0" i="1" l="1"/>
  <c r="J96" i="1"/>
  <c r="H426" i="1"/>
  <c r="F57" i="1"/>
  <c r="F60" i="1" s="1"/>
  <c r="F110" i="1"/>
  <c r="C18" i="12"/>
  <c r="C19" i="12" s="1"/>
  <c r="B22" i="12"/>
  <c r="H290" i="1"/>
  <c r="H338" i="1" s="1"/>
  <c r="H352" i="1" s="1"/>
  <c r="H541" i="1"/>
  <c r="H526" i="1"/>
  <c r="L526" i="1" s="1"/>
  <c r="G549" i="1" s="1"/>
  <c r="I523" i="1"/>
  <c r="H523" i="1"/>
  <c r="I522" i="1"/>
  <c r="K521" i="1"/>
  <c r="K524" i="1" s="1"/>
  <c r="K545" i="1" s="1"/>
  <c r="I521" i="1"/>
  <c r="G97" i="1"/>
  <c r="G111" i="1" s="1"/>
  <c r="F367" i="1"/>
  <c r="H611" i="1"/>
  <c r="H614" i="1" s="1"/>
  <c r="G611" i="1"/>
  <c r="H598" i="1"/>
  <c r="G502" i="1"/>
  <c r="H379" i="1"/>
  <c r="H375" i="1"/>
  <c r="I110" i="1"/>
  <c r="I358" i="1"/>
  <c r="H358" i="1"/>
  <c r="H362" i="1" s="1"/>
  <c r="G358" i="1"/>
  <c r="F358" i="1"/>
  <c r="H159" i="1"/>
  <c r="H155" i="1"/>
  <c r="L243" i="1"/>
  <c r="F13" i="13"/>
  <c r="L242" i="1"/>
  <c r="F8" i="13"/>
  <c r="L239" i="1"/>
  <c r="L238" i="1"/>
  <c r="K523" i="1"/>
  <c r="I247" i="1"/>
  <c r="G523" i="1"/>
  <c r="L233" i="1"/>
  <c r="L226" i="1"/>
  <c r="G662" i="1" s="1"/>
  <c r="L225" i="1"/>
  <c r="L223" i="1"/>
  <c r="B36" i="12"/>
  <c r="K522" i="1"/>
  <c r="J522" i="1"/>
  <c r="H522" i="1"/>
  <c r="G522" i="1"/>
  <c r="K229" i="1"/>
  <c r="G229" i="1"/>
  <c r="F16" i="13"/>
  <c r="L209" i="1"/>
  <c r="G15" i="13"/>
  <c r="F14" i="13"/>
  <c r="L207" i="1"/>
  <c r="G13" i="13"/>
  <c r="F12" i="13"/>
  <c r="L204" i="1"/>
  <c r="F7" i="13"/>
  <c r="L203" i="1"/>
  <c r="G6" i="13"/>
  <c r="H521" i="1"/>
  <c r="H524" i="1" s="1"/>
  <c r="H545" i="1" s="1"/>
  <c r="J521" i="1"/>
  <c r="I211" i="1"/>
  <c r="C36" i="12"/>
  <c r="L197" i="1"/>
  <c r="C9" i="12"/>
  <c r="F185" i="1"/>
  <c r="F69" i="1"/>
  <c r="F50" i="1"/>
  <c r="F51" i="1" s="1"/>
  <c r="F31" i="1"/>
  <c r="F9" i="1"/>
  <c r="C45" i="2"/>
  <c r="G51" i="1"/>
  <c r="G52" i="1" s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D50" i="2" s="1"/>
  <c r="C36" i="2"/>
  <c r="I455" i="1"/>
  <c r="J45" i="1"/>
  <c r="G44" i="2"/>
  <c r="I458" i="1"/>
  <c r="J39" i="1"/>
  <c r="G38" i="2"/>
  <c r="C68" i="2"/>
  <c r="B2" i="13"/>
  <c r="G8" i="13"/>
  <c r="D39" i="13"/>
  <c r="L224" i="1"/>
  <c r="G16" i="13"/>
  <c r="L227" i="1"/>
  <c r="L245" i="1"/>
  <c r="G5" i="13"/>
  <c r="L200" i="1"/>
  <c r="L218" i="1"/>
  <c r="L236" i="1"/>
  <c r="F6" i="13"/>
  <c r="L220" i="1"/>
  <c r="G7" i="13"/>
  <c r="L221" i="1"/>
  <c r="G12" i="13"/>
  <c r="L205" i="1"/>
  <c r="G14" i="13"/>
  <c r="F15" i="13"/>
  <c r="L244" i="1"/>
  <c r="F17" i="13"/>
  <c r="G17" i="13"/>
  <c r="L251" i="1"/>
  <c r="F18" i="13"/>
  <c r="D18" i="13" s="1"/>
  <c r="G18" i="13"/>
  <c r="L252" i="1"/>
  <c r="F19" i="13"/>
  <c r="G19" i="13"/>
  <c r="D19" i="13" s="1"/>
  <c r="L253" i="1"/>
  <c r="F29" i="13"/>
  <c r="G29" i="13"/>
  <c r="L358" i="1"/>
  <c r="L362" i="1" s="1"/>
  <c r="L359" i="1"/>
  <c r="L360" i="1"/>
  <c r="I367" i="1"/>
  <c r="I369" i="1" s="1"/>
  <c r="J290" i="1"/>
  <c r="J338" i="1" s="1"/>
  <c r="J309" i="1"/>
  <c r="J328" i="1"/>
  <c r="K290" i="1"/>
  <c r="K309" i="1"/>
  <c r="K328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L261" i="1"/>
  <c r="L341" i="1"/>
  <c r="L342" i="1"/>
  <c r="E132" i="2" s="1"/>
  <c r="L255" i="1"/>
  <c r="L336" i="1"/>
  <c r="C11" i="13"/>
  <c r="C10" i="13"/>
  <c r="C9" i="13"/>
  <c r="L361" i="1"/>
  <c r="B4" i="12"/>
  <c r="B40" i="12"/>
  <c r="C40" i="12"/>
  <c r="B31" i="12"/>
  <c r="C31" i="12"/>
  <c r="B9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3" i="1"/>
  <c r="L404" i="1"/>
  <c r="L405" i="1"/>
  <c r="L406" i="1"/>
  <c r="L266" i="1"/>
  <c r="J60" i="1"/>
  <c r="G59" i="2"/>
  <c r="G61" i="2"/>
  <c r="F2" i="11"/>
  <c r="L613" i="1"/>
  <c r="H663" i="1" s="1"/>
  <c r="L612" i="1"/>
  <c r="G663" i="1"/>
  <c r="L611" i="1"/>
  <c r="L614" i="1" s="1"/>
  <c r="C40" i="10"/>
  <c r="G60" i="1"/>
  <c r="D56" i="2" s="1"/>
  <c r="H60" i="1"/>
  <c r="I60" i="1"/>
  <c r="F79" i="1"/>
  <c r="C57" i="2" s="1"/>
  <c r="F94" i="1"/>
  <c r="C58" i="2" s="1"/>
  <c r="G112" i="1"/>
  <c r="H79" i="1"/>
  <c r="E57" i="2" s="1"/>
  <c r="H94" i="1"/>
  <c r="H111" i="1"/>
  <c r="I111" i="1"/>
  <c r="I112" i="1" s="1"/>
  <c r="J111" i="1"/>
  <c r="F121" i="1"/>
  <c r="F136" i="1"/>
  <c r="F140" i="1" s="1"/>
  <c r="G121" i="1"/>
  <c r="G136" i="1"/>
  <c r="H121" i="1"/>
  <c r="H136" i="1"/>
  <c r="H140" i="1" s="1"/>
  <c r="I121" i="1"/>
  <c r="I136" i="1"/>
  <c r="J121" i="1"/>
  <c r="J136" i="1"/>
  <c r="F147" i="1"/>
  <c r="F162" i="1"/>
  <c r="G147" i="1"/>
  <c r="D85" i="2" s="1"/>
  <c r="G162" i="1"/>
  <c r="H147" i="1"/>
  <c r="I147" i="1"/>
  <c r="F85" i="2" s="1"/>
  <c r="I162" i="1"/>
  <c r="L250" i="1"/>
  <c r="C113" i="2" s="1"/>
  <c r="L332" i="1"/>
  <c r="L254" i="1"/>
  <c r="C25" i="10"/>
  <c r="L268" i="1"/>
  <c r="L269" i="1"/>
  <c r="L349" i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7" i="1"/>
  <c r="G550" i="1" s="1"/>
  <c r="G552" i="1" s="1"/>
  <c r="L528" i="1"/>
  <c r="G551" i="1"/>
  <c r="L531" i="1"/>
  <c r="L532" i="1"/>
  <c r="H550" i="1"/>
  <c r="L533" i="1"/>
  <c r="H551" i="1" s="1"/>
  <c r="L536" i="1"/>
  <c r="I549" i="1"/>
  <c r="L537" i="1"/>
  <c r="I550" i="1" s="1"/>
  <c r="I552" i="1" s="1"/>
  <c r="L538" i="1"/>
  <c r="I551" i="1"/>
  <c r="L541" i="1"/>
  <c r="L542" i="1"/>
  <c r="J550" i="1"/>
  <c r="L543" i="1"/>
  <c r="J551" i="1" s="1"/>
  <c r="K270" i="1"/>
  <c r="J270" i="1"/>
  <c r="I270" i="1"/>
  <c r="H270" i="1"/>
  <c r="G270" i="1"/>
  <c r="L270" i="1" s="1"/>
  <c r="F270" i="1"/>
  <c r="C132" i="2"/>
  <c r="C131" i="2"/>
  <c r="A1" i="2"/>
  <c r="A2" i="2"/>
  <c r="C8" i="2"/>
  <c r="D8" i="2"/>
  <c r="E8" i="2"/>
  <c r="E18" i="2" s="1"/>
  <c r="F8" i="2"/>
  <c r="I439" i="1"/>
  <c r="J9" i="1"/>
  <c r="G8" i="2"/>
  <c r="C9" i="2"/>
  <c r="D9" i="2"/>
  <c r="E9" i="2"/>
  <c r="F9" i="2"/>
  <c r="F18" i="2" s="1"/>
  <c r="I440" i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 s="1"/>
  <c r="C34" i="2"/>
  <c r="D34" i="2"/>
  <c r="E34" i="2"/>
  <c r="F34" i="2"/>
  <c r="C35" i="2"/>
  <c r="D35" i="2"/>
  <c r="E35" i="2"/>
  <c r="F35" i="2"/>
  <c r="I454" i="1"/>
  <c r="J49" i="1"/>
  <c r="G48" i="2"/>
  <c r="I456" i="1"/>
  <c r="I457" i="1"/>
  <c r="J37" i="1"/>
  <c r="I459" i="1"/>
  <c r="J48" i="1" s="1"/>
  <c r="G47" i="2" s="1"/>
  <c r="C49" i="2"/>
  <c r="E56" i="2"/>
  <c r="F56" i="2"/>
  <c r="E58" i="2"/>
  <c r="E62" i="2" s="1"/>
  <c r="C59" i="2"/>
  <c r="D59" i="2"/>
  <c r="E59" i="2"/>
  <c r="F59" i="2"/>
  <c r="F62" i="2" s="1"/>
  <c r="D60" i="2"/>
  <c r="D61" i="2"/>
  <c r="E61" i="2"/>
  <c r="F61" i="2"/>
  <c r="C66" i="2"/>
  <c r="C70" i="2" s="1"/>
  <c r="C67" i="2"/>
  <c r="C69" i="2"/>
  <c r="D69" i="2"/>
  <c r="D70" i="2"/>
  <c r="E69" i="2"/>
  <c r="E70" i="2" s="1"/>
  <c r="F69" i="2"/>
  <c r="F70" i="2"/>
  <c r="G69" i="2"/>
  <c r="G70" i="2" s="1"/>
  <c r="C72" i="2"/>
  <c r="F72" i="2"/>
  <c r="F78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E85" i="2"/>
  <c r="C87" i="2"/>
  <c r="E87" i="2"/>
  <c r="F87" i="2"/>
  <c r="C88" i="2"/>
  <c r="D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2" i="2"/>
  <c r="E113" i="2"/>
  <c r="C114" i="2"/>
  <c r="D115" i="2"/>
  <c r="F115" i="2"/>
  <c r="G115" i="2"/>
  <c r="E118" i="2"/>
  <c r="C119" i="2"/>
  <c r="E121" i="2"/>
  <c r="E122" i="2"/>
  <c r="E123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/>
  <c r="L265" i="1"/>
  <c r="C137" i="2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H500" i="1"/>
  <c r="D161" i="2"/>
  <c r="I500" i="1"/>
  <c r="E161" i="2" s="1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 s="1"/>
  <c r="H503" i="1"/>
  <c r="D164" i="2"/>
  <c r="I503" i="1"/>
  <c r="E164" i="2" s="1"/>
  <c r="J503" i="1"/>
  <c r="F164" i="2"/>
  <c r="F19" i="1"/>
  <c r="G19" i="1"/>
  <c r="H19" i="1"/>
  <c r="I19" i="1"/>
  <c r="F32" i="1"/>
  <c r="G32" i="1"/>
  <c r="H32" i="1"/>
  <c r="I32" i="1"/>
  <c r="H618" i="1"/>
  <c r="H51" i="1"/>
  <c r="I51" i="1"/>
  <c r="F177" i="1"/>
  <c r="I177" i="1"/>
  <c r="F183" i="1"/>
  <c r="F192" i="1" s="1"/>
  <c r="G183" i="1"/>
  <c r="H183" i="1"/>
  <c r="I183" i="1"/>
  <c r="J183" i="1"/>
  <c r="F188" i="1"/>
  <c r="G188" i="1"/>
  <c r="G192" i="1" s="1"/>
  <c r="H188" i="1"/>
  <c r="I188" i="1"/>
  <c r="H211" i="1"/>
  <c r="F229" i="1"/>
  <c r="I229" i="1"/>
  <c r="J229" i="1"/>
  <c r="G247" i="1"/>
  <c r="H247" i="1"/>
  <c r="K247" i="1"/>
  <c r="F256" i="1"/>
  <c r="L256" i="1" s="1"/>
  <c r="G256" i="1"/>
  <c r="H256" i="1"/>
  <c r="I256" i="1"/>
  <c r="J256" i="1"/>
  <c r="K256" i="1"/>
  <c r="F290" i="1"/>
  <c r="I290" i="1"/>
  <c r="I338" i="1" s="1"/>
  <c r="I352" i="1" s="1"/>
  <c r="F309" i="1"/>
  <c r="G309" i="1"/>
  <c r="H309" i="1"/>
  <c r="I309" i="1"/>
  <c r="F328" i="1"/>
  <c r="G328" i="1"/>
  <c r="H328" i="1"/>
  <c r="I328" i="1"/>
  <c r="F337" i="1"/>
  <c r="G337" i="1"/>
  <c r="H337" i="1"/>
  <c r="I337" i="1"/>
  <c r="L337" i="1" s="1"/>
  <c r="J337" i="1"/>
  <c r="J352" i="1"/>
  <c r="K337" i="1"/>
  <c r="F362" i="1"/>
  <c r="G362" i="1"/>
  <c r="I362" i="1"/>
  <c r="G634" i="1" s="1"/>
  <c r="J362" i="1"/>
  <c r="K362" i="1"/>
  <c r="I368" i="1"/>
  <c r="F369" i="1"/>
  <c r="G369" i="1"/>
  <c r="H369" i="1"/>
  <c r="L381" i="1"/>
  <c r="L382" i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I401" i="1"/>
  <c r="F407" i="1"/>
  <c r="G407" i="1"/>
  <c r="H407" i="1"/>
  <c r="I407" i="1"/>
  <c r="G408" i="1"/>
  <c r="H645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3" i="1" s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F460" i="1"/>
  <c r="G460" i="1"/>
  <c r="G461" i="1" s="1"/>
  <c r="H460" i="1"/>
  <c r="F461" i="1"/>
  <c r="H461" i="1"/>
  <c r="H641" i="1" s="1"/>
  <c r="F470" i="1"/>
  <c r="G470" i="1"/>
  <c r="G476" i="1" s="1"/>
  <c r="H623" i="1" s="1"/>
  <c r="H470" i="1"/>
  <c r="I470" i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K503" i="1"/>
  <c r="F517" i="1"/>
  <c r="G517" i="1"/>
  <c r="H517" i="1"/>
  <c r="I517" i="1"/>
  <c r="I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71" i="1" s="1"/>
  <c r="L558" i="1"/>
  <c r="L559" i="1"/>
  <c r="F560" i="1"/>
  <c r="G560" i="1"/>
  <c r="H560" i="1"/>
  <c r="I560" i="1"/>
  <c r="J560" i="1"/>
  <c r="K560" i="1"/>
  <c r="L562" i="1"/>
  <c r="L563" i="1"/>
  <c r="L565" i="1" s="1"/>
  <c r="L564" i="1"/>
  <c r="F565" i="1"/>
  <c r="F571" i="1" s="1"/>
  <c r="G565" i="1"/>
  <c r="H565" i="1"/>
  <c r="H571" i="1" s="1"/>
  <c r="I565" i="1"/>
  <c r="J565" i="1"/>
  <c r="J571" i="1" s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649" i="1"/>
  <c r="I598" i="1"/>
  <c r="H650" i="1"/>
  <c r="J598" i="1"/>
  <c r="H651" i="1"/>
  <c r="K602" i="1"/>
  <c r="K603" i="1"/>
  <c r="K605" i="1" s="1"/>
  <c r="K604" i="1"/>
  <c r="H605" i="1"/>
  <c r="I605" i="1"/>
  <c r="J605" i="1"/>
  <c r="F614" i="1"/>
  <c r="G614" i="1"/>
  <c r="I614" i="1"/>
  <c r="J614" i="1"/>
  <c r="K614" i="1"/>
  <c r="G617" i="1"/>
  <c r="G618" i="1"/>
  <c r="G619" i="1"/>
  <c r="G620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H640" i="1"/>
  <c r="J640" i="1" s="1"/>
  <c r="G643" i="1"/>
  <c r="G644" i="1"/>
  <c r="G650" i="1"/>
  <c r="G652" i="1"/>
  <c r="H652" i="1"/>
  <c r="G653" i="1"/>
  <c r="J653" i="1" s="1"/>
  <c r="H653" i="1"/>
  <c r="G654" i="1"/>
  <c r="J654" i="1" s="1"/>
  <c r="H654" i="1"/>
  <c r="H655" i="1"/>
  <c r="J655" i="1" s="1"/>
  <c r="I257" i="1"/>
  <c r="I271" i="1" s="1"/>
  <c r="G164" i="2"/>
  <c r="A40" i="12"/>
  <c r="D62" i="2"/>
  <c r="D63" i="2"/>
  <c r="C18" i="13"/>
  <c r="D18" i="2"/>
  <c r="D17" i="13"/>
  <c r="C17" i="13" s="1"/>
  <c r="C91" i="2"/>
  <c r="F81" i="2"/>
  <c r="F104" i="2" s="1"/>
  <c r="G157" i="2"/>
  <c r="E103" i="2"/>
  <c r="D91" i="2"/>
  <c r="E63" i="2"/>
  <c r="E31" i="2"/>
  <c r="G62" i="2"/>
  <c r="C19" i="13"/>
  <c r="E78" i="2"/>
  <c r="E81" i="2" s="1"/>
  <c r="L427" i="1"/>
  <c r="H112" i="1"/>
  <c r="J639" i="1"/>
  <c r="G648" i="1"/>
  <c r="K571" i="1"/>
  <c r="L419" i="1"/>
  <c r="I169" i="1"/>
  <c r="I193" i="1" s="1"/>
  <c r="G630" i="1" s="1"/>
  <c r="J630" i="1" s="1"/>
  <c r="H476" i="1"/>
  <c r="H624" i="1"/>
  <c r="F476" i="1"/>
  <c r="H622" i="1" s="1"/>
  <c r="J622" i="1" s="1"/>
  <c r="I476" i="1"/>
  <c r="H625" i="1"/>
  <c r="J623" i="1"/>
  <c r="F169" i="1"/>
  <c r="J140" i="1"/>
  <c r="G22" i="2"/>
  <c r="F22" i="13"/>
  <c r="C22" i="13" s="1"/>
  <c r="H25" i="13"/>
  <c r="H33" i="13" s="1"/>
  <c r="C25" i="13"/>
  <c r="J634" i="1"/>
  <c r="F338" i="1"/>
  <c r="F352" i="1"/>
  <c r="H192" i="1"/>
  <c r="L309" i="1"/>
  <c r="E16" i="13"/>
  <c r="C16" i="13" s="1"/>
  <c r="I545" i="1"/>
  <c r="G36" i="2"/>
  <c r="F63" i="2"/>
  <c r="C23" i="10"/>
  <c r="G163" i="2"/>
  <c r="G160" i="2"/>
  <c r="G159" i="2"/>
  <c r="G158" i="2"/>
  <c r="F103" i="2"/>
  <c r="C103" i="2"/>
  <c r="F91" i="2"/>
  <c r="C50" i="2"/>
  <c r="C51" i="2" s="1"/>
  <c r="F31" i="2"/>
  <c r="C31" i="2"/>
  <c r="F50" i="2"/>
  <c r="F51" i="2" s="1"/>
  <c r="C24" i="10"/>
  <c r="G31" i="13"/>
  <c r="G33" i="13"/>
  <c r="J650" i="1"/>
  <c r="L407" i="1"/>
  <c r="C140" i="2" s="1"/>
  <c r="I192" i="1"/>
  <c r="G21" i="2"/>
  <c r="G31" i="2"/>
  <c r="J32" i="1"/>
  <c r="L434" i="1"/>
  <c r="G638" i="1" s="1"/>
  <c r="J638" i="1" s="1"/>
  <c r="J434" i="1"/>
  <c r="F434" i="1"/>
  <c r="K434" i="1"/>
  <c r="G134" i="2"/>
  <c r="G144" i="2" s="1"/>
  <c r="G145" i="2"/>
  <c r="C6" i="10"/>
  <c r="F31" i="13"/>
  <c r="G169" i="1"/>
  <c r="G140" i="1"/>
  <c r="G193" i="1" s="1"/>
  <c r="G628" i="1" s="1"/>
  <c r="J628" i="1" s="1"/>
  <c r="J618" i="1"/>
  <c r="C5" i="10"/>
  <c r="G16" i="2"/>
  <c r="H434" i="1"/>
  <c r="D103" i="2"/>
  <c r="I140" i="1"/>
  <c r="J652" i="1"/>
  <c r="G571" i="1"/>
  <c r="I434" i="1"/>
  <c r="G434" i="1"/>
  <c r="F112" i="1" l="1"/>
  <c r="F193" i="1" s="1"/>
  <c r="G627" i="1" s="1"/>
  <c r="J627" i="1" s="1"/>
  <c r="C56" i="2"/>
  <c r="C38" i="10"/>
  <c r="H193" i="1"/>
  <c r="G629" i="1" s="1"/>
  <c r="J629" i="1" s="1"/>
  <c r="C27" i="10"/>
  <c r="G635" i="1"/>
  <c r="J635" i="1" s="1"/>
  <c r="C39" i="10"/>
  <c r="C35" i="10"/>
  <c r="I571" i="1"/>
  <c r="J192" i="1"/>
  <c r="G645" i="1"/>
  <c r="J645" i="1" s="1"/>
  <c r="E50" i="2"/>
  <c r="E51" i="2" s="1"/>
  <c r="C18" i="2"/>
  <c r="F130" i="2"/>
  <c r="F144" i="2" s="1"/>
  <c r="F145" i="2" s="1"/>
  <c r="J112" i="1"/>
  <c r="G56" i="2"/>
  <c r="G63" i="2" s="1"/>
  <c r="G104" i="2" s="1"/>
  <c r="C29" i="10"/>
  <c r="L351" i="1"/>
  <c r="J624" i="1"/>
  <c r="C161" i="2"/>
  <c r="G161" i="2" s="1"/>
  <c r="K500" i="1"/>
  <c r="D81" i="2"/>
  <c r="D104" i="2" s="1"/>
  <c r="D31" i="2"/>
  <c r="D51" i="2" s="1"/>
  <c r="C32" i="10"/>
  <c r="E131" i="2"/>
  <c r="E144" i="2" s="1"/>
  <c r="L328" i="1"/>
  <c r="E119" i="2"/>
  <c r="L277" i="1"/>
  <c r="E110" i="2" s="1"/>
  <c r="K598" i="1"/>
  <c r="G647" i="1" s="1"/>
  <c r="J641" i="1"/>
  <c r="L544" i="1"/>
  <c r="J549" i="1"/>
  <c r="J552" i="1" s="1"/>
  <c r="D12" i="13"/>
  <c r="C12" i="13" s="1"/>
  <c r="C13" i="10"/>
  <c r="C112" i="2"/>
  <c r="B13" i="12"/>
  <c r="C26" i="10"/>
  <c r="J617" i="1"/>
  <c r="F408" i="1"/>
  <c r="H643" i="1" s="1"/>
  <c r="J643" i="1" s="1"/>
  <c r="I52" i="1"/>
  <c r="H620" i="1" s="1"/>
  <c r="J620" i="1" s="1"/>
  <c r="G625" i="1"/>
  <c r="J625" i="1" s="1"/>
  <c r="G162" i="2"/>
  <c r="G103" i="2"/>
  <c r="C78" i="2"/>
  <c r="C81" i="2" s="1"/>
  <c r="H549" i="1"/>
  <c r="H552" i="1" s="1"/>
  <c r="L534" i="1"/>
  <c r="F661" i="1"/>
  <c r="D127" i="2"/>
  <c r="D128" i="2" s="1"/>
  <c r="D145" i="2" s="1"/>
  <c r="G661" i="1"/>
  <c r="H661" i="1"/>
  <c r="D29" i="13"/>
  <c r="C29" i="13" s="1"/>
  <c r="H662" i="1"/>
  <c r="G651" i="1"/>
  <c r="J651" i="1" s="1"/>
  <c r="C109" i="2"/>
  <c r="K211" i="1"/>
  <c r="K257" i="1" s="1"/>
  <c r="K271" i="1" s="1"/>
  <c r="G521" i="1"/>
  <c r="G524" i="1" s="1"/>
  <c r="G545" i="1" s="1"/>
  <c r="G211" i="1"/>
  <c r="G257" i="1" s="1"/>
  <c r="G271" i="1" s="1"/>
  <c r="C16" i="10"/>
  <c r="D7" i="13"/>
  <c r="C7" i="13" s="1"/>
  <c r="C20" i="10"/>
  <c r="C123" i="2"/>
  <c r="D14" i="13"/>
  <c r="C14" i="13" s="1"/>
  <c r="C125" i="2"/>
  <c r="H229" i="1"/>
  <c r="H257" i="1" s="1"/>
  <c r="H271" i="1" s="1"/>
  <c r="L215" i="1"/>
  <c r="L216" i="1"/>
  <c r="B18" i="12"/>
  <c r="L234" i="1"/>
  <c r="F523" i="1"/>
  <c r="L523" i="1" s="1"/>
  <c r="F551" i="1" s="1"/>
  <c r="K551" i="1" s="1"/>
  <c r="F247" i="1"/>
  <c r="J523" i="1"/>
  <c r="J524" i="1" s="1"/>
  <c r="J545" i="1" s="1"/>
  <c r="J247" i="1"/>
  <c r="E88" i="2"/>
  <c r="E91" i="2" s="1"/>
  <c r="E104" i="2" s="1"/>
  <c r="H162" i="1"/>
  <c r="H169" i="1" s="1"/>
  <c r="F522" i="1"/>
  <c r="L522" i="1" s="1"/>
  <c r="F550" i="1" s="1"/>
  <c r="K550" i="1" s="1"/>
  <c r="E124" i="2"/>
  <c r="E120" i="2"/>
  <c r="E111" i="2"/>
  <c r="K338" i="1"/>
  <c r="K352" i="1" s="1"/>
  <c r="L198" i="1"/>
  <c r="C20" i="12"/>
  <c r="C22" i="12" s="1"/>
  <c r="C21" i="12"/>
  <c r="H52" i="1"/>
  <c r="H619" i="1" s="1"/>
  <c r="J619" i="1" s="1"/>
  <c r="J43" i="1"/>
  <c r="I460" i="1"/>
  <c r="I452" i="1"/>
  <c r="I461" i="1" s="1"/>
  <c r="H642" i="1" s="1"/>
  <c r="J10" i="1"/>
  <c r="I446" i="1"/>
  <c r="G642" i="1" s="1"/>
  <c r="J642" i="1" s="1"/>
  <c r="F52" i="1"/>
  <c r="H617" i="1" s="1"/>
  <c r="F5" i="13"/>
  <c r="J211" i="1"/>
  <c r="J257" i="1" s="1"/>
  <c r="B27" i="12"/>
  <c r="A31" i="12" s="1"/>
  <c r="L199" i="1"/>
  <c r="F211" i="1"/>
  <c r="F257" i="1" s="1"/>
  <c r="F271" i="1" s="1"/>
  <c r="L202" i="1"/>
  <c r="L206" i="1"/>
  <c r="L208" i="1"/>
  <c r="L217" i="1"/>
  <c r="C27" i="12"/>
  <c r="L222" i="1"/>
  <c r="L235" i="1"/>
  <c r="L240" i="1"/>
  <c r="L241" i="1"/>
  <c r="C121" i="2" s="1"/>
  <c r="F663" i="1"/>
  <c r="I663" i="1" s="1"/>
  <c r="L276" i="1"/>
  <c r="G290" i="1"/>
  <c r="G338" i="1" s="1"/>
  <c r="G352" i="1" s="1"/>
  <c r="F111" i="1"/>
  <c r="C61" i="2"/>
  <c r="C62" i="2" s="1"/>
  <c r="L400" i="1"/>
  <c r="L401" i="1" s="1"/>
  <c r="H401" i="1"/>
  <c r="H408" i="1" s="1"/>
  <c r="H644" i="1" s="1"/>
  <c r="J644" i="1" s="1"/>
  <c r="F521" i="1"/>
  <c r="C139" i="2" l="1"/>
  <c r="L408" i="1"/>
  <c r="C17" i="10"/>
  <c r="E8" i="13"/>
  <c r="C19" i="10"/>
  <c r="C122" i="2"/>
  <c r="E13" i="13"/>
  <c r="C13" i="13" s="1"/>
  <c r="J51" i="1"/>
  <c r="G42" i="2"/>
  <c r="G50" i="2" s="1"/>
  <c r="G51" i="2" s="1"/>
  <c r="F524" i="1"/>
  <c r="F545" i="1" s="1"/>
  <c r="L521" i="1"/>
  <c r="C15" i="10"/>
  <c r="C118" i="2"/>
  <c r="D6" i="13"/>
  <c r="C6" i="13" s="1"/>
  <c r="J271" i="1"/>
  <c r="H648" i="1"/>
  <c r="J648" i="1" s="1"/>
  <c r="G9" i="2"/>
  <c r="G18" i="2" s="1"/>
  <c r="J19" i="1"/>
  <c r="G621" i="1" s="1"/>
  <c r="C11" i="10"/>
  <c r="C110" i="2"/>
  <c r="C115" i="2" s="1"/>
  <c r="L247" i="1"/>
  <c r="H660" i="1" s="1"/>
  <c r="H664" i="1" s="1"/>
  <c r="L229" i="1"/>
  <c r="G660" i="1" s="1"/>
  <c r="G664" i="1" s="1"/>
  <c r="L211" i="1"/>
  <c r="E128" i="2"/>
  <c r="J193" i="1"/>
  <c r="C36" i="10"/>
  <c r="D5" i="13"/>
  <c r="F33" i="13"/>
  <c r="I661" i="1"/>
  <c r="C10" i="12"/>
  <c r="E109" i="2"/>
  <c r="E115" i="2" s="1"/>
  <c r="E145" i="2" s="1"/>
  <c r="L290" i="1"/>
  <c r="C124" i="2"/>
  <c r="D15" i="13"/>
  <c r="C15" i="13" s="1"/>
  <c r="H647" i="1"/>
  <c r="C21" i="10"/>
  <c r="F662" i="1"/>
  <c r="I662" i="1" s="1"/>
  <c r="G649" i="1"/>
  <c r="J649" i="1" s="1"/>
  <c r="C111" i="2"/>
  <c r="C12" i="10"/>
  <c r="C12" i="12"/>
  <c r="A22" i="12"/>
  <c r="C120" i="2"/>
  <c r="C10" i="10"/>
  <c r="C11" i="12"/>
  <c r="C18" i="10"/>
  <c r="J647" i="1"/>
  <c r="C63" i="2"/>
  <c r="C104" i="2" s="1"/>
  <c r="D36" i="10" l="1"/>
  <c r="H667" i="1"/>
  <c r="H672" i="1"/>
  <c r="C128" i="2"/>
  <c r="C145" i="2" s="1"/>
  <c r="G637" i="1"/>
  <c r="J637" i="1" s="1"/>
  <c r="H646" i="1"/>
  <c r="D18" i="10"/>
  <c r="D33" i="13"/>
  <c r="D36" i="13" s="1"/>
  <c r="C5" i="13"/>
  <c r="G646" i="1"/>
  <c r="J646" i="1" s="1"/>
  <c r="G631" i="1"/>
  <c r="J631" i="1" s="1"/>
  <c r="L257" i="1"/>
  <c r="L271" i="1" s="1"/>
  <c r="G632" i="1" s="1"/>
  <c r="J632" i="1" s="1"/>
  <c r="F660" i="1"/>
  <c r="D19" i="10"/>
  <c r="C141" i="2"/>
  <c r="C144" i="2"/>
  <c r="L524" i="1"/>
  <c r="L545" i="1" s="1"/>
  <c r="F549" i="1"/>
  <c r="G626" i="1"/>
  <c r="J626" i="1" s="1"/>
  <c r="J52" i="1"/>
  <c r="H621" i="1" s="1"/>
  <c r="C8" i="13"/>
  <c r="E33" i="13"/>
  <c r="D35" i="13" s="1"/>
  <c r="D10" i="10"/>
  <c r="C28" i="10"/>
  <c r="D12" i="10"/>
  <c r="D21" i="10"/>
  <c r="L338" i="1"/>
  <c r="L352" i="1" s="1"/>
  <c r="G633" i="1" s="1"/>
  <c r="J633" i="1" s="1"/>
  <c r="D31" i="13"/>
  <c r="C31" i="13" s="1"/>
  <c r="C13" i="12"/>
  <c r="A13" i="12" s="1"/>
  <c r="C41" i="10"/>
  <c r="G667" i="1"/>
  <c r="G672" i="1"/>
  <c r="J621" i="1"/>
  <c r="D17" i="10"/>
  <c r="F664" i="1" l="1"/>
  <c r="I660" i="1"/>
  <c r="I664" i="1" s="1"/>
  <c r="H656" i="1"/>
  <c r="F552" i="1"/>
  <c r="K549" i="1"/>
  <c r="K552" i="1" s="1"/>
  <c r="D22" i="10"/>
  <c r="D23" i="10"/>
  <c r="C30" i="10"/>
  <c r="D25" i="10"/>
  <c r="D24" i="10"/>
  <c r="D13" i="10"/>
  <c r="D20" i="10"/>
  <c r="D16" i="10"/>
  <c r="D27" i="10"/>
  <c r="D26" i="10"/>
  <c r="D11" i="10"/>
  <c r="D15" i="10"/>
  <c r="D28" i="10"/>
  <c r="D40" i="10"/>
  <c r="D37" i="10"/>
  <c r="D35" i="10"/>
  <c r="D39" i="10"/>
  <c r="D38" i="10"/>
  <c r="I672" i="1" l="1"/>
  <c r="C7" i="10" s="1"/>
  <c r="I667" i="1"/>
  <c r="D41" i="10"/>
  <c r="F672" i="1"/>
  <c r="C4" i="10" s="1"/>
  <c r="F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<sst xmlns="http://schemas.openxmlformats.org/spreadsheetml/2006/main" count="3958" uniqueCount="916">
  <si>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</si>
  <si>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</si>
  <si>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</si>
  <si>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</si>
  <si>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</si>
  <si>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</si>
  <si>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</si>
  <si>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</si>
  <si>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</si>
  <si>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</si>
  <si>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</si>
  <si>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</si>
  <si>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</si>
  <si>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</si>
  <si>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</si>
  <si>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</si>
  <si>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</si>
  <si>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</si>
  <si>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</si>
  <si>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</si>
  <si>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</si>
  <si>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</si>
  <si>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</si>
  <si>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</si>
  <si>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</si>
  <si>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</si>
  <si>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</si>
  <si>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</si>
  <si>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</si>
  <si>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</si>
  <si>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</si>
  <si>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</si>
  <si>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</si>
  <si>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</si>
  <si>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</si>
  <si>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</si>
  <si>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</si>
  <si>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</si>
  <si>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</si>
  <si>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</si>
  <si>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</si>
  <si>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</si>
  <si>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</si>
  <si>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</si>
  <si>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</si>
  <si>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</si>
  <si>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</si>
  <si>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</si>
  <si>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</si>
  <si>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</si>
  <si>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</si>
  <si>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</si>
  <si>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</si>
  <si>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</si>
  <si>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</si>
  <si>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</si>
  <si>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</si>
  <si>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</si>
  <si>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</si>
  <si>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</si>
  <si>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</si>
  <si>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</si>
  <si>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</si>
  <si>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</si>
  <si>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</si>
  <si>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</si>
  <si>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</si>
  <si>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</si>
  <si>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</si>
  <si>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</si>
  <si>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</si>
  <si>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</si>
  <si>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</si>
  <si>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</si>
  <si>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</si>
  <si>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</si>
  <si>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</si>
  <si>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</si>
  <si>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</si>
  <si>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</si>
  <si>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</si>
  <si>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</si>
  <si>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</si>
  <si>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</si>
  <si>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</si>
  <si>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</si>
  <si>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</si>
  <si>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</si>
  <si>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</si>
  <si>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</si>
  <si>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</si>
  <si>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</si>
  <si>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</si>
  <si>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</si>
  <si>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</si>
  <si>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</si>
  <si>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</si>
  <si>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</si>
  <si>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</si>
  <si>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</si>
  <si>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</si>
  <si>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</si>
  <si>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</si>
  <si>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</si>
  <si>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</si>
  <si>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</si>
  <si>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</si>
  <si>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</si>
  <si>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</si>
  <si>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</si>
  <si>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</si>
  <si>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</si>
  <si>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</si>
  <si>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</si>
  <si>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</si>
  <si>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</si>
  <si>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</si>
  <si>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</si>
  <si>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</si>
  <si>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</si>
  <si>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</si>
  <si>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</si>
  <si>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</si>
  <si>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</si>
  <si>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</si>
  <si>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</si>
  <si>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</si>
  <si>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</si>
  <si>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</si>
  <si>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</si>
  <si>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</si>
  <si>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</si>
  <si>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</si>
  <si>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</si>
  <si>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</si>
  <si>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</si>
  <si>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</si>
  <si>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</si>
  <si>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</si>
  <si>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</si>
  <si>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</si>
  <si>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</si>
  <si>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</si>
  <si>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</si>
  <si>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</si>
  <si>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</si>
  <si>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</si>
  <si>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</si>
  <si>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</si>
  <si>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</si>
  <si>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</si>
  <si>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</si>
  <si>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</si>
  <si>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</si>
  <si>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</si>
  <si>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</si>
  <si>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</si>
  <si>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</si>
  <si>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</si>
  <si>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</si>
  <si>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</si>
  <si>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</si>
  <si>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</si>
  <si>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</si>
  <si>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</si>
  <si>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</si>
  <si>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</si>
  <si>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</si>
  <si>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</si>
  <si>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</si>
  <si>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</si>
  <si>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</si>
  <si>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</si>
  <si>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</si>
  <si>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</si>
  <si>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</si>
  <si>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</si>
  <si>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</si>
  <si>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</si>
  <si>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</si>
  <si>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</si>
  <si>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</si>
  <si>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</si>
  <si>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</si>
  <si>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</si>
  <si>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</si>
  <si>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</si>
  <si>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</si>
  <si>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</si>
  <si>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</si>
  <si>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</si>
  <si>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</si>
  <si>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</si>
  <si>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</si>
  <si>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</si>
  <si>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</si>
  <si>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</si>
  <si>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</si>
  <si>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</si>
  <si>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</si>
  <si>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</si>
  <si>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</si>
  <si>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</si>
  <si>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</si>
  <si>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</si>
  <si>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</si>
  <si>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</si>
  <si>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</si>
  <si>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</si>
  <si>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</si>
  <si>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</si>
  <si>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</si>
  <si>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</si>
  <si>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</si>
  <si>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</si>
  <si>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</si>
  <si>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</si>
  <si>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</si>
  <si>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</si>
  <si>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</si>
  <si>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</si>
  <si>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</si>
  <si>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</si>
  <si>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</si>
  <si>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</si>
  <si>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</si>
  <si>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</si>
  <si>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</si>
  <si>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</si>
  <si>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</si>
  <si>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</si>
  <si>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</si>
  <si>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</si>
  <si>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</si>
  <si>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</si>
  <si>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</si>
  <si>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</si>
  <si>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</si>
  <si>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</si>
  <si>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</si>
  <si>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</si>
  <si>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</si>
  <si>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</si>
  <si>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</si>
  <si>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</si>
  <si>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</si>
  <si>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</si>
  <si>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</si>
  <si>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</si>
  <si>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</si>
  <si>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</si>
  <si>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</si>
  <si>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</si>
  <si>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</si>
  <si>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</si>
  <si>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</si>
  <si>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</si>
  <si>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</si>
  <si>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</si>
  <si>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</si>
  <si>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</si>
  <si>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</si>
  <si>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</si>
  <si>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</si>
  <si>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</si>
  <si>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</si>
  <si>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</si>
  <si>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</si>
  <si>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</si>
  <si>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</si>
  <si>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</si>
  <si>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</si>
  <si>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</si>
  <si>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</si>
  <si>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</si>
  <si>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</si>
  <si>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</si>
  <si>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</si>
  <si>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</si>
  <si>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</si>
  <si>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</si>
  <si>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</si>
  <si>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</si>
  <si>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</si>
  <si>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</si>
  <si>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</si>
  <si>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</si>
  <si>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</si>
  <si>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</si>
  <si>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</si>
  <si>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</si>
  <si>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</si>
  <si>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</si>
  <si>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</si>
  <si>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</si>
  <si>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</si>
  <si>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</si>
  <si>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</si>
  <si>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</si>
  <si>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</si>
  <si>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</si>
  <si>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</si>
  <si>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</si>
  <si>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</si>
  <si>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</si>
  <si>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</si>
  <si>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</si>
  <si>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</si>
  <si>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</si>
  <si>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</si>
  <si>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</si>
  <si>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</si>
  <si>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</si>
  <si>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</si>
  <si>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</si>
  <si>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</si>
  <si>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</si>
  <si>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</si>
  <si>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</si>
  <si>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</si>
  <si>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</si>
  <si>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</si>
  <si>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</si>
  <si>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</si>
  <si>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</si>
  <si>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</si>
  <si>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</si>
  <si>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</si>
  <si>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</si>
  <si>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</si>
  <si>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</si>
  <si>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</si>
  <si>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</si>
  <si>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</si>
  <si>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</si>
  <si>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</si>
  <si>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</si>
  <si>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</si>
  <si>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</si>
  <si>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</si>
  <si>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</si>
  <si>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</si>
  <si>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</si>
  <si>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</si>
  <si>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</si>
  <si>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</si>
  <si>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</si>
  <si>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</si>
  <si>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</si>
  <si>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</si>
  <si>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</si>
  <si>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</si>
  <si>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</si>
  <si>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</si>
  <si>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</si>
  <si>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</si>
  <si>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</si>
  <si>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</si>
  <si>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</si>
  <si>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</si>
  <si>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</si>
  <si>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</si>
  <si>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</si>
  <si>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</si>
  <si>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</si>
  <si>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</si>
  <si>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</si>
  <si>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</si>
  <si>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</si>
  <si>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</si>
  <si>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</si>
  <si>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</si>
  <si>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</si>
  <si>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</si>
  <si>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</si>
  <si>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</si>
  <si>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</si>
  <si>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</si>
  <si>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</si>
  <si>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</si>
  <si>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</si>
  <si>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</si>
  <si>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</si>
  <si>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</si>
  <si>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</si>
  <si>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</si>
  <si>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</si>
  <si>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</si>
  <si>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</si>
  <si>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</si>
  <si>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</si>
  <si>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</si>
  <si>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</si>
  <si>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</si>
  <si>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</si>
  <si>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</si>
  <si>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</si>
  <si>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</si>
  <si>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</si>
  <si>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</si>
  <si>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</si>
  <si>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</si>
  <si>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</si>
  <si>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</si>
  <si>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</si>
  <si>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</si>
  <si>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</si>
  <si>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</si>
  <si>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</si>
  <si>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</si>
  <si>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</si>
  <si>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</si>
  <si>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</si>
  <si>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</si>
  <si>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</si>
  <si>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</si>
  <si>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</si>
  <si>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</si>
  <si>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</si>
  <si>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</si>
  <si>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</si>
  <si>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</si>
  <si>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</si>
  <si>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</si>
  <si>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</si>
  <si>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</si>
  <si>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</si>
  <si>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</si>
  <si>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</si>
  <si>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</si>
  <si>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</si>
  <si>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</si>
  <si>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</si>
  <si>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</si>
  <si>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</si>
  <si>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</si>
  <si>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</si>
  <si>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</si>
  <si>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</si>
  <si>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</si>
  <si>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</si>
  <si>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</si>
  <si>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</si>
  <si>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</si>
  <si>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</si>
  <si>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</si>
  <si>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</si>
  <si>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</si>
  <si>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</si>
  <si>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</si>
  <si>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</si>
  <si>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</si>
  <si>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</si>
  <si>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</si>
  <si>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</si>
  <si>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</si>
  <si>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</si>
  <si>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</si>
  <si>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</si>
  <si>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</si>
  <si>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</si>
  <si>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</si>
  <si>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</si>
  <si>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</si>
  <si>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</si>
  <si>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</si>
  <si>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</si>
  <si>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</si>
  <si>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</si>
  <si>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</si>
  <si>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</si>
  <si>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</si>
  <si>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</si>
  <si>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</si>
  <si>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</si>
  <si>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</si>
  <si>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</si>
  <si>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</si>
  <si>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</si>
  <si>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</si>
  <si>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</si>
  <si>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</si>
  <si>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</si>
  <si>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</si>
  <si>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</si>
  <si>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</si>
  <si>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</si>
  <si>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</si>
  <si>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</si>
  <si>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</si>
  <si>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</si>
  <si>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</si>
  <si>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</si>
  <si>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</si>
  <si>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</si>
  <si>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</si>
  <si>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</si>
  <si>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</si>
  <si>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</si>
  <si>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</si>
  <si>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</si>
  <si>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</si>
  <si>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</si>
  <si>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</si>
  <si>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</si>
  <si>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</si>
  <si>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</si>
  <si>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</si>
  <si>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</si>
  <si>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</si>
  <si>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</si>
  <si>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</si>
  <si>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</si>
  <si>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</si>
  <si>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</si>
  <si>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</si>
  <si>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</si>
  <si>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</si>
  <si>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</si>
  <si>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</si>
  <si>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</si>
  <si>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</si>
  <si>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</si>
  <si>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</si>
  <si>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</si>
  <si>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</si>
  <si>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</si>
  <si>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</si>
  <si>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</si>
  <si>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</si>
  <si>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</si>
  <si>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</si>
  <si>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</si>
  <si>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</si>
  <si>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</si>
  <si>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</si>
  <si>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</si>
  <si>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</si>
  <si>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</si>
  <si>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</si>
  <si>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</si>
  <si>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</si>
  <si>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</si>
  <si>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</si>
  <si>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</si>
  <si>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</si>
  <si>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</si>
  <si>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</si>
  <si>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</si>
  <si>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</si>
  <si>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</si>
  <si>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</si>
  <si>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</si>
  <si>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</si>
  <si>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</si>
  <si>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</si>
  <si>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</si>
  <si>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</si>
  <si>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</si>
  <si>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</si>
  <si>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</si>
  <si>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</si>
  <si>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</si>
  <si>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</si>
  <si>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</si>
  <si>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</si>
  <si>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</si>
  <si>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</si>
  <si>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</si>
  <si>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</si>
  <si>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</si>
  <si>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</si>
  <si>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</si>
  <si>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</si>
  <si>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</si>
  <si>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</si>
  <si>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</si>
  <si>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</si>
  <si>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</si>
  <si>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</si>
  <si>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</si>
  <si>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</si>
  <si>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</si>
  <si>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</si>
  <si>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</si>
  <si>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</si>
  <si>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</si>
  <si>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</si>
  <si>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</si>
  <si>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</si>
  <si>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</si>
  <si>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</si>
  <si>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</si>
  <si>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</si>
  <si>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</si>
  <si>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</si>
  <si>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</si>
  <si>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</si>
  <si>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</si>
  <si>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</si>
  <si>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</si>
  <si>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</si>
  <si>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</si>
  <si>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</si>
  <si>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</si>
  <si>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</si>
  <si>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</si>
  <si>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</si>
  <si>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</si>
  <si>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</si>
  <si>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</si>
  <si>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</si>
  <si>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</si>
  <si>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</si>
  <si>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</si>
  <si>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</si>
  <si>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</si>
  <si>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</si>
  <si>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</si>
  <si>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</si>
  <si>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</si>
  <si>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</si>
  <si>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</si>
  <si>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</si>
  <si>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</si>
  <si>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</si>
  <si>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</si>
  <si>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</si>
  <si>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</si>
  <si>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</si>
  <si>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</si>
  <si>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</si>
  <si>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</si>
  <si>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</si>
  <si>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</si>
  <si>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</si>
  <si>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</si>
  <si>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</si>
  <si>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</si>
  <si>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</si>
  <si>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</si>
  <si>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</si>
  <si>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</si>
  <si>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</si>
  <si>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</si>
  <si>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</si>
  <si>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</si>
  <si>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</si>
  <si>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</si>
  <si>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</si>
  <si>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</si>
  <si>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</si>
  <si>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</si>
  <si>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</si>
  <si>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</si>
  <si>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</si>
  <si>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</si>
  <si>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</si>
  <si>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</si>
  <si>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</si>
  <si>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</si>
  <si>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</si>
  <si>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</si>
  <si>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</si>
  <si>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</si>
  <si>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</si>
  <si>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</si>
  <si>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</si>
  <si>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</si>
  <si>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</si>
  <si>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</si>
  <si>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</si>
  <si>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</si>
  <si>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</si>
  <si>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</si>
  <si>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</si>
  <si>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</si>
  <si>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</si>
  <si>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</si>
  <si>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</si>
  <si>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</si>
  <si>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</si>
  <si>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</si>
  <si>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</si>
  <si>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</si>
  <si>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</si>
  <si>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</si>
  <si>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</si>
  <si>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</si>
  <si>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</si>
  <si>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</si>
  <si>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</si>
  <si>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</si>
  <si>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</si>
  <si>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</si>
  <si>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</si>
  <si>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</si>
  <si>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</si>
  <si>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</si>
  <si>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</si>
  <si>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</si>
  <si>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</si>
  <si>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</si>
  <si>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</si>
  <si>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</si>
  <si>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</si>
  <si>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</si>
  <si>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</si>
  <si>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</si>
  <si>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</si>
  <si>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</si>
  <si>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</si>
  <si>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</si>
  <si>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</si>
  <si>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</si>
  <si>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</si>
  <si>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</si>
  <si>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</si>
  <si>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</si>
  <si>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</si>
  <si>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</si>
  <si>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</si>
  <si>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</si>
  <si>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</si>
  <si>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</si>
  <si>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</si>
  <si>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</si>
  <si>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</si>
  <si>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</si>
  <si>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</si>
  <si>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</si>
  <si>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</si>
  <si>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</si>
  <si>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</si>
  <si>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</si>
  <si>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</si>
  <si>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</si>
  <si>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</si>
  <si>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</si>
  <si>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</si>
  <si>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</si>
  <si>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</si>
  <si>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</si>
  <si>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</si>
  <si>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</si>
  <si>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</si>
  <si>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</si>
  <si>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</si>
  <si>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</si>
  <si>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</si>
  <si>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</si>
  <si>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</si>
  <si>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</si>
  <si>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</si>
  <si>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</si>
  <si>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</si>
  <si>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</si>
  <si>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</si>
  <si>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</si>
  <si>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</si>
  <si>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</si>
  <si>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</si>
  <si>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</si>
  <si>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</si>
  <si>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</si>
  <si>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</si>
  <si>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</si>
  <si>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</si>
  <si>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</si>
  <si>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</si>
  <si>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</si>
  <si>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</si>
  <si>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</si>
  <si>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</si>
  <si>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</si>
  <si>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</si>
  <si>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</si>
  <si>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</si>
  <si>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</si>
  <si>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</si>
  <si>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</si>
  <si>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</si>
  <si>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</si>
  <si>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</si>
  <si>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</si>
  <si>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</si>
  <si>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</si>
  <si>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</si>
  <si>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</si>
  <si>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</si>
  <si>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</si>
  <si>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</si>
  <si>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</si>
  <si>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</si>
  <si>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</si>
  <si>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</si>
  <si>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</si>
  <si>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</si>
  <si>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</si>
  <si>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</si>
  <si>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</si>
  <si>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</si>
  <si>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</si>
  <si>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</si>
  <si>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</si>
  <si>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</si>
  <si>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</si>
  <si>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</si>
  <si>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</si>
  <si>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</si>
  <si>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</si>
  <si>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</si>
  <si>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</si>
  <si>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</si>
  <si>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</si>
  <si>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</si>
  <si>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</si>
  <si>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</si>
  <si>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</si>
  <si>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</si>
  <si>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</si>
  <si>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</si>
  <si>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</si>
  <si>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</si>
  <si>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</si>
  <si>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</si>
  <si>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</si>
  <si>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</si>
  <si>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</si>
  <si>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</si>
  <si>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</si>
  <si>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</si>
  <si>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</si>
  <si>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</si>
  <si>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</si>
  <si>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</si>
  <si>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</si>
  <si>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</si>
  <si>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</si>
  <si>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</si>
  <si>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</si>
  <si>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</si>
  <si>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</si>
  <si>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</si>
  <si>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</si>
  <si>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</si>
  <si>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</si>
  <si>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</si>
  <si>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</si>
  <si>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</si>
  <si>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</si>
  <si>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</si>
  <si>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</si>
  <si>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</si>
  <si>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</si>
  <si>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</si>
  <si>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</si>
  <si>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</si>
  <si>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</si>
  <si>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</si>
  <si>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</si>
  <si>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</si>
  <si>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</si>
  <si>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</si>
  <si>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</si>
  <si>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</si>
  <si>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</si>
  <si>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</si>
  <si>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</si>
  <si>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</si>
  <si>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</si>
  <si>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</si>
  <si>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</si>
  <si>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</si>
  <si>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</si>
  <si>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</si>
  <si>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</si>
  <si>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</si>
  <si>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</si>
  <si>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</si>
  <si>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</si>
  <si>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</si>
  <si>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</si>
  <si>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</si>
  <si>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</si>
  <si>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</si>
  <si>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</si>
  <si>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</si>
  <si>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</si>
  <si>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</si>
  <si>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</si>
  <si>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</si>
  <si>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</si>
  <si>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</si>
  <si>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</si>
  <si>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</si>
  <si>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</si>
  <si>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</si>
  <si>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</si>
  <si>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</si>
  <si>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</si>
  <si>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</si>
  <si>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</si>
  <si>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</si>
  <si>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</si>
  <si>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</si>
  <si>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</si>
  <si>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</si>
  <si>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</si>
  <si>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</si>
  <si>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</si>
  <si>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02/36</t>
  </si>
  <si>
    <t>02/15</t>
  </si>
  <si>
    <t>01/95</t>
  </si>
  <si>
    <t>01/15</t>
  </si>
  <si>
    <t>Hanover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</si>
</sst>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u/>
      <sz val="8"/>
      <color theme="10"/>
      <name val="Arial"/>
    </font>
    <font>
      <u/>
      <sz val="8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27">
    <xf numFmtId="0" fontId="0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zoomScalePageLayoutView="125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233</v>
      </c>
      <c r="C2" s="21">
        <v>233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100+806828.73</f>
        <v>806928.73</v>
      </c>
      <c r="G9" s="18"/>
      <c r="H9" s="18"/>
      <c r="I9" s="18"/>
      <c r="J9" s="67">
        <f>SUM(I439)</f>
        <v>1530954.46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196.23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19388.68</v>
      </c>
      <c r="H12" s="18"/>
      <c r="I12" s="18">
        <v>1170470.3700000001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178522.6</v>
      </c>
      <c r="G13" s="18">
        <v>146.97</v>
      </c>
      <c r="H13" s="18">
        <v>58268.959999999999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821.4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-733.54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5798000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6783735.4199999999</v>
      </c>
      <c r="G19" s="41">
        <f>SUM(G9:G18)</f>
        <v>19535.650000000001</v>
      </c>
      <c r="H19" s="41">
        <f>SUM(H9:H18)</f>
        <v>58268.959999999999</v>
      </c>
      <c r="I19" s="41">
        <f>SUM(I9:I18)</f>
        <v>1170470.3700000001</v>
      </c>
      <c r="J19" s="41">
        <f>SUM(J9:J18)</f>
        <v>1530954.46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1131590.0900000001</v>
      </c>
      <c r="G22" s="18">
        <v>0</v>
      </c>
      <c r="H22" s="18">
        <v>58268.959999999999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150531.35999999999</v>
      </c>
      <c r="G24" s="18">
        <v>241.7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>
        <v>-7602.78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19569.21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2720</v>
      </c>
      <c r="G30" s="18">
        <v>19212.169999999998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f>407000+5408036.19</f>
        <v>5815036.1900000004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7119446.8500000006</v>
      </c>
      <c r="G32" s="41">
        <f>SUM(G22:G31)</f>
        <v>19453.87</v>
      </c>
      <c r="H32" s="41">
        <f>SUM(H22:H31)</f>
        <v>58268.959999999999</v>
      </c>
      <c r="I32" s="41">
        <f>SUM(I22:I31)</f>
        <v>-7602.78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81.78</v>
      </c>
      <c r="H48" s="18"/>
      <c r="I48" s="18">
        <v>1178073.1499999999</v>
      </c>
      <c r="J48" s="13">
        <f>SUM(I459)</f>
        <v>1530954.46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-372254.48+36543.05</f>
        <v>-335711.43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-335711.43</v>
      </c>
      <c r="G51" s="41">
        <f>SUM(G35:G50)</f>
        <v>81.78</v>
      </c>
      <c r="H51" s="41">
        <f>SUM(H35:H50)</f>
        <v>0</v>
      </c>
      <c r="I51" s="41">
        <f>SUM(I35:I50)</f>
        <v>1178073.1499999999</v>
      </c>
      <c r="J51" s="41">
        <f>SUM(J35:J50)</f>
        <v>1530954.46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6783735.4200000009</v>
      </c>
      <c r="G52" s="41">
        <f>G51+G32</f>
        <v>19535.649999999998</v>
      </c>
      <c r="H52" s="41">
        <f>H51+H32</f>
        <v>58268.959999999999</v>
      </c>
      <c r="I52" s="41">
        <f>I51+I32</f>
        <v>1170470.3699999999</v>
      </c>
      <c r="J52" s="41">
        <f>J51+J32</f>
        <v>1530954.46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11519744-F118</f>
        <v>9208190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9208190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11597.3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5880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f>98412.6+7067.91</f>
        <v>105480.51000000001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122957.81000000001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-76.790000000000006</v>
      </c>
      <c r="G96" s="18"/>
      <c r="H96" s="18"/>
      <c r="I96" s="18"/>
      <c r="J96" s="18">
        <f>19882.38+63995.65+35.64</f>
        <v>83913.67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166326-3005.69+16455+706.05-G179</f>
        <v>163421.10999999999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7623.13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23566.61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248.84</f>
        <v>248.84</v>
      </c>
      <c r="G110" s="18">
        <v>464.4</v>
      </c>
      <c r="H110" s="18"/>
      <c r="I110" s="18">
        <f>9903+64988</f>
        <v>74891</v>
      </c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31361.79</v>
      </c>
      <c r="G111" s="41">
        <f>SUM(G96:G110)</f>
        <v>163885.50999999998</v>
      </c>
      <c r="H111" s="41">
        <f>SUM(H96:H110)</f>
        <v>0</v>
      </c>
      <c r="I111" s="41">
        <f>SUM(I96:I110)</f>
        <v>74891</v>
      </c>
      <c r="J111" s="41">
        <f>SUM(J96:J110)</f>
        <v>83913.67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9362509.5999999996</v>
      </c>
      <c r="G112" s="41">
        <f>G60+G111</f>
        <v>163885.50999999998</v>
      </c>
      <c r="H112" s="41">
        <f>H60+H79+H94+H111</f>
        <v>0</v>
      </c>
      <c r="I112" s="41">
        <f>I60+I111</f>
        <v>74891</v>
      </c>
      <c r="J112" s="41">
        <f>J60+J111</f>
        <v>83913.67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2311554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2311554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156036.73000000001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295974.25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452010.98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153166</v>
      </c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2916730.98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8870.38+17278.67</f>
        <v>26149.049999999996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765.21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1800+97558+5069</f>
        <v>104427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92654.37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92654.37</v>
      </c>
      <c r="G162" s="41">
        <f>SUM(G150:G161)</f>
        <v>765.21</v>
      </c>
      <c r="H162" s="41">
        <f>SUM(H150:H161)</f>
        <v>130576.04999999999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3761.18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96415.549999999988</v>
      </c>
      <c r="G169" s="41">
        <f>G147+G162+SUM(G163:G168)</f>
        <v>765.21</v>
      </c>
      <c r="H169" s="41">
        <f>H147+H162+SUM(H163:H168)</f>
        <v>130576.04999999999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5798000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5798000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17060.25</v>
      </c>
      <c r="H179" s="18"/>
      <c r="I179" s="18"/>
      <c r="J179" s="18">
        <v>60000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17060.25</v>
      </c>
      <c r="H183" s="41">
        <f>SUM(H179:H182)</f>
        <v>0</v>
      </c>
      <c r="I183" s="41">
        <f>SUM(I179:I182)</f>
        <v>0</v>
      </c>
      <c r="J183" s="41">
        <f>SUM(J179:J182)</f>
        <v>60000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f>30000+140000</f>
        <v>170000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170000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170000</v>
      </c>
      <c r="G192" s="41">
        <f>G183+SUM(G188:G191)</f>
        <v>17060.25</v>
      </c>
      <c r="H192" s="41">
        <f>+H183+SUM(H188:H191)</f>
        <v>0</v>
      </c>
      <c r="I192" s="41">
        <f>I177+I183+SUM(I188:I191)</f>
        <v>5798000</v>
      </c>
      <c r="J192" s="41">
        <f>J183</f>
        <v>60000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12545656.130000001</v>
      </c>
      <c r="G193" s="47">
        <f>G112+G140+G169+G192</f>
        <v>181710.96999999997</v>
      </c>
      <c r="H193" s="47">
        <f>H112+H140+H169+H192</f>
        <v>130576.04999999999</v>
      </c>
      <c r="I193" s="47">
        <f>I112+I140+I169+I192</f>
        <v>5872891</v>
      </c>
      <c r="J193" s="47">
        <f>J112+J140+J192</f>
        <v>143913.66999999998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3045751.23</v>
      </c>
      <c r="G197" s="18">
        <v>1310721.81</v>
      </c>
      <c r="H197" s="18">
        <v>1859224.38</v>
      </c>
      <c r="I197" s="18">
        <v>66155.13</v>
      </c>
      <c r="J197" s="18">
        <v>80073.58</v>
      </c>
      <c r="K197" s="18">
        <v>0</v>
      </c>
      <c r="L197" s="19">
        <f>SUM(F197:K197)</f>
        <v>6361926.1299999999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1517957.24</v>
      </c>
      <c r="G198" s="18">
        <v>731523.09</v>
      </c>
      <c r="H198" s="18">
        <v>328039.96999999997</v>
      </c>
      <c r="I198" s="18">
        <v>9738.42</v>
      </c>
      <c r="J198" s="18">
        <v>4127.17</v>
      </c>
      <c r="K198" s="18">
        <v>599.5</v>
      </c>
      <c r="L198" s="19">
        <f>SUM(F198:K198)</f>
        <v>2591985.3899999997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0</v>
      </c>
      <c r="G200" s="18">
        <v>0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186720.19</v>
      </c>
      <c r="G202" s="18">
        <v>75401.570000000007</v>
      </c>
      <c r="H202" s="18">
        <v>1822.52</v>
      </c>
      <c r="I202" s="18">
        <v>1029.01</v>
      </c>
      <c r="J202" s="18">
        <v>0</v>
      </c>
      <c r="K202" s="18">
        <v>0</v>
      </c>
      <c r="L202" s="19">
        <f t="shared" ref="L202:L208" si="0">SUM(F202:K202)</f>
        <v>264973.29000000004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80177.42</v>
      </c>
      <c r="G203" s="18">
        <v>94904.62</v>
      </c>
      <c r="H203" s="18">
        <v>22718.91</v>
      </c>
      <c r="I203" s="18">
        <v>14605.68</v>
      </c>
      <c r="J203" s="18">
        <v>17114.93</v>
      </c>
      <c r="K203" s="18">
        <v>0</v>
      </c>
      <c r="L203" s="19">
        <f t="shared" si="0"/>
        <v>229521.55999999997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7813</v>
      </c>
      <c r="G204" s="18">
        <v>621.29999999999995</v>
      </c>
      <c r="H204" s="18">
        <v>387108.69999999995</v>
      </c>
      <c r="I204" s="18">
        <v>0</v>
      </c>
      <c r="J204" s="18">
        <v>0</v>
      </c>
      <c r="K204" s="18">
        <v>5276.3</v>
      </c>
      <c r="L204" s="19">
        <f t="shared" si="0"/>
        <v>400819.29999999993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268525.06</v>
      </c>
      <c r="G205" s="18">
        <v>354776.65</v>
      </c>
      <c r="H205" s="18">
        <v>28813.989999999998</v>
      </c>
      <c r="I205" s="18">
        <v>2230.2399999999998</v>
      </c>
      <c r="J205" s="18">
        <v>6523.18</v>
      </c>
      <c r="K205" s="18">
        <v>809</v>
      </c>
      <c r="L205" s="19">
        <f t="shared" si="0"/>
        <v>661678.12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214488.07</v>
      </c>
      <c r="G207" s="18">
        <v>90310.94</v>
      </c>
      <c r="H207" s="18">
        <v>151095.01</v>
      </c>
      <c r="I207" s="18">
        <v>145967.92000000001</v>
      </c>
      <c r="J207" s="18">
        <v>5277</v>
      </c>
      <c r="K207" s="18">
        <v>0</v>
      </c>
      <c r="L207" s="19">
        <f t="shared" si="0"/>
        <v>607138.94000000006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223681.26</v>
      </c>
      <c r="I208" s="18">
        <v>7755.04</v>
      </c>
      <c r="J208" s="18">
        <v>0</v>
      </c>
      <c r="K208" s="18">
        <v>0</v>
      </c>
      <c r="L208" s="19">
        <f t="shared" si="0"/>
        <v>231436.30000000002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76236.490000000005</v>
      </c>
      <c r="I209" s="18">
        <v>0</v>
      </c>
      <c r="J209" s="18">
        <v>0</v>
      </c>
      <c r="K209" s="18">
        <v>0</v>
      </c>
      <c r="L209" s="19">
        <f>SUM(F209:K209)</f>
        <v>76236.490000000005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5321432.21</v>
      </c>
      <c r="G211" s="41">
        <f t="shared" si="1"/>
        <v>2658259.9799999995</v>
      </c>
      <c r="H211" s="41">
        <f t="shared" si="1"/>
        <v>3078741.2299999995</v>
      </c>
      <c r="I211" s="41">
        <f t="shared" si="1"/>
        <v>247481.44000000003</v>
      </c>
      <c r="J211" s="41">
        <f t="shared" si="1"/>
        <v>113115.85999999999</v>
      </c>
      <c r="K211" s="41">
        <f t="shared" si="1"/>
        <v>6684.8</v>
      </c>
      <c r="L211" s="41">
        <f t="shared" si="1"/>
        <v>11425715.52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105638.81</v>
      </c>
      <c r="I226" s="18">
        <v>4714.17</v>
      </c>
      <c r="J226" s="18">
        <v>0</v>
      </c>
      <c r="K226" s="18">
        <v>0</v>
      </c>
      <c r="L226" s="19">
        <f t="shared" si="2"/>
        <v>110352.98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105638.81</v>
      </c>
      <c r="I229" s="41">
        <f>SUM(I215:I228)</f>
        <v>4714.17</v>
      </c>
      <c r="J229" s="41">
        <f>SUM(J215:J228)</f>
        <v>0</v>
      </c>
      <c r="K229" s="41">
        <f t="shared" si="3"/>
        <v>0</v>
      </c>
      <c r="L229" s="41">
        <f t="shared" si="3"/>
        <v>110352.98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0</v>
      </c>
      <c r="G234" s="18">
        <v>0</v>
      </c>
      <c r="H234" s="18">
        <v>939298.34</v>
      </c>
      <c r="I234" s="18">
        <v>0</v>
      </c>
      <c r="J234" s="18">
        <v>0</v>
      </c>
      <c r="K234" s="18">
        <v>0</v>
      </c>
      <c r="L234" s="19">
        <f>SUM(F234:K234)</f>
        <v>939298.34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151067.1</v>
      </c>
      <c r="I244" s="18">
        <v>6741.42</v>
      </c>
      <c r="J244" s="18">
        <v>0</v>
      </c>
      <c r="K244" s="18">
        <v>0</v>
      </c>
      <c r="L244" s="19">
        <f t="shared" si="4"/>
        <v>157808.52000000002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1090365.4399999999</v>
      </c>
      <c r="I247" s="41">
        <f t="shared" si="5"/>
        <v>6741.42</v>
      </c>
      <c r="J247" s="41">
        <f t="shared" si="5"/>
        <v>0</v>
      </c>
      <c r="K247" s="41">
        <f t="shared" si="5"/>
        <v>0</v>
      </c>
      <c r="L247" s="41">
        <f t="shared" si="5"/>
        <v>1097106.8599999999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5321432.21</v>
      </c>
      <c r="G257" s="41">
        <f t="shared" si="8"/>
        <v>2658259.9799999995</v>
      </c>
      <c r="H257" s="41">
        <f t="shared" si="8"/>
        <v>4274745.4799999995</v>
      </c>
      <c r="I257" s="41">
        <f t="shared" si="8"/>
        <v>258937.03000000006</v>
      </c>
      <c r="J257" s="41">
        <f t="shared" si="8"/>
        <v>113115.85999999999</v>
      </c>
      <c r="K257" s="41">
        <f t="shared" si="8"/>
        <v>6684.8</v>
      </c>
      <c r="L257" s="41">
        <f t="shared" si="8"/>
        <v>12633175.359999999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195000</v>
      </c>
      <c r="L260" s="19">
        <f>SUM(F260:K260)</f>
        <v>195000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12675</v>
      </c>
      <c r="L261" s="19">
        <f>SUM(F261:K261)</f>
        <v>12675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17060.25</v>
      </c>
      <c r="L263" s="19">
        <f>SUM(F263:K263)</f>
        <v>17060.25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60000</v>
      </c>
      <c r="L266" s="19">
        <f t="shared" si="9"/>
        <v>60000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284735.25</v>
      </c>
      <c r="L270" s="41">
        <f t="shared" si="9"/>
        <v>284735.25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5321432.21</v>
      </c>
      <c r="G271" s="42">
        <f t="shared" si="11"/>
        <v>2658259.9799999995</v>
      </c>
      <c r="H271" s="42">
        <f t="shared" si="11"/>
        <v>4274745.4799999995</v>
      </c>
      <c r="I271" s="42">
        <f t="shared" si="11"/>
        <v>258937.03000000006</v>
      </c>
      <c r="J271" s="42">
        <f t="shared" si="11"/>
        <v>113115.85999999999</v>
      </c>
      <c r="K271" s="42">
        <f t="shared" si="11"/>
        <v>291420.05</v>
      </c>
      <c r="L271" s="42">
        <f t="shared" si="11"/>
        <v>12917910.609999999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26149.05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26149.05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101277</v>
      </c>
      <c r="G277" s="18">
        <v>1350</v>
      </c>
      <c r="H277" s="18">
        <v>1800</v>
      </c>
      <c r="I277" s="18">
        <v>0</v>
      </c>
      <c r="J277" s="18">
        <v>0</v>
      </c>
      <c r="K277" s="18">
        <v>0</v>
      </c>
      <c r="L277" s="19">
        <f>SUM(F277:K277)</f>
        <v>104427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127426.05</v>
      </c>
      <c r="G290" s="42">
        <f t="shared" si="13"/>
        <v>1350</v>
      </c>
      <c r="H290" s="42">
        <f t="shared" si="13"/>
        <v>1800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130576.05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127426.05</v>
      </c>
      <c r="G338" s="41">
        <f t="shared" si="20"/>
        <v>1350</v>
      </c>
      <c r="H338" s="41">
        <f t="shared" si="20"/>
        <v>1800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130576.05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127426.05</v>
      </c>
      <c r="G352" s="41">
        <f>G338</f>
        <v>1350</v>
      </c>
      <c r="H352" s="41">
        <f>H338</f>
        <v>1800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130576.05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41856.68+34805.75+325</f>
        <v>76987.429999999993</v>
      </c>
      <c r="G358" s="18">
        <f>1075+8222.53+93+118.43+3748.5+5809.97</f>
        <v>19067.43</v>
      </c>
      <c r="H358" s="18">
        <f>3060.63+1300</f>
        <v>4360.63</v>
      </c>
      <c r="I358" s="18">
        <f>81778.37+11146.98</f>
        <v>92925.349999999991</v>
      </c>
      <c r="J358" s="18">
        <v>343</v>
      </c>
      <c r="K358" s="18"/>
      <c r="L358" s="13">
        <f>SUM(F358:K358)</f>
        <v>193683.83999999997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76987.429999999993</v>
      </c>
      <c r="G362" s="47">
        <f t="shared" si="22"/>
        <v>19067.43</v>
      </c>
      <c r="H362" s="47">
        <f t="shared" si="22"/>
        <v>4360.63</v>
      </c>
      <c r="I362" s="47">
        <f t="shared" si="22"/>
        <v>92925.349999999991</v>
      </c>
      <c r="J362" s="47">
        <f t="shared" si="22"/>
        <v>343</v>
      </c>
      <c r="K362" s="47">
        <f t="shared" si="22"/>
        <v>0</v>
      </c>
      <c r="L362" s="47">
        <f t="shared" si="22"/>
        <v>193683.83999999997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81778.37+11146.98</f>
        <v>92925.349999999991</v>
      </c>
      <c r="G367" s="18"/>
      <c r="H367" s="18"/>
      <c r="I367" s="56">
        <f>SUM(F367:H367)</f>
        <v>92925.349999999991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92925.349999999991</v>
      </c>
      <c r="G369" s="47">
        <f>SUM(G367:G368)</f>
        <v>0</v>
      </c>
      <c r="H369" s="47">
        <f>SUM(H367:H368)</f>
        <v>0</v>
      </c>
      <c r="I369" s="47">
        <f>SUM(I367:I368)</f>
        <v>92925.349999999991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>
        <f>5796.68+800+3357.19+27967.39+261686.75</f>
        <v>299608.01</v>
      </c>
      <c r="I375" s="18"/>
      <c r="J375" s="18"/>
      <c r="K375" s="18"/>
      <c r="L375" s="13">
        <f t="shared" ref="L375:L381" si="23">SUM(F375:K375)</f>
        <v>299608.01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f>58776.59+93099.77+2949355.02+847416.2</f>
        <v>3948647.58</v>
      </c>
      <c r="I379" s="18"/>
      <c r="J379" s="18">
        <v>42485.52</v>
      </c>
      <c r="K379" s="18"/>
      <c r="L379" s="13">
        <f t="shared" si="23"/>
        <v>3991133.1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4248255.59</v>
      </c>
      <c r="I382" s="41">
        <f t="shared" si="24"/>
        <v>0</v>
      </c>
      <c r="J382" s="47">
        <f t="shared" si="24"/>
        <v>42485.52</v>
      </c>
      <c r="K382" s="47">
        <f t="shared" si="24"/>
        <v>0</v>
      </c>
      <c r="L382" s="47">
        <f t="shared" si="24"/>
        <v>4290741.1100000003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>
        <v>14.79</v>
      </c>
      <c r="I388" s="18"/>
      <c r="J388" s="24" t="s">
        <v>289</v>
      </c>
      <c r="K388" s="24" t="s">
        <v>289</v>
      </c>
      <c r="L388" s="56">
        <f t="shared" si="25"/>
        <v>14.79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20.85</v>
      </c>
      <c r="I392" s="18"/>
      <c r="J392" s="24" t="s">
        <v>289</v>
      </c>
      <c r="K392" s="24" t="s">
        <v>289</v>
      </c>
      <c r="L392" s="56">
        <f t="shared" si="25"/>
        <v>20.85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35.64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35.64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0</v>
      </c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60000</v>
      </c>
      <c r="H397" s="18">
        <v>0</v>
      </c>
      <c r="I397" s="18"/>
      <c r="J397" s="24" t="s">
        <v>289</v>
      </c>
      <c r="K397" s="24" t="s">
        <v>289</v>
      </c>
      <c r="L397" s="56">
        <f t="shared" si="26"/>
        <v>60000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f>63995.65+19882.38</f>
        <v>83878.03</v>
      </c>
      <c r="I400" s="18">
        <v>0</v>
      </c>
      <c r="J400" s="24" t="s">
        <v>289</v>
      </c>
      <c r="K400" s="24" t="s">
        <v>289</v>
      </c>
      <c r="L400" s="56">
        <f t="shared" si="26"/>
        <v>83878.03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60000</v>
      </c>
      <c r="H401" s="47">
        <f>SUM(H395:H400)</f>
        <v>83878.03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143878.03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60000</v>
      </c>
      <c r="H408" s="47">
        <f>H393+H401+H407</f>
        <v>83913.67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143913.67000000001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>
        <v>0</v>
      </c>
      <c r="I415" s="18"/>
      <c r="J415" s="18"/>
      <c r="K415" s="18">
        <v>30000</v>
      </c>
      <c r="L415" s="56">
        <f t="shared" si="27"/>
        <v>30000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>
        <v>0</v>
      </c>
      <c r="I418" s="18"/>
      <c r="J418" s="18"/>
      <c r="K418" s="18">
        <v>140000</v>
      </c>
      <c r="L418" s="56">
        <f t="shared" si="27"/>
        <v>140000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170000</v>
      </c>
      <c r="L419" s="47">
        <f t="shared" si="28"/>
        <v>170000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>
        <v>0</v>
      </c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f>40000+114880.94+8873.65</f>
        <v>163754.59</v>
      </c>
      <c r="I426" s="18"/>
      <c r="J426" s="18"/>
      <c r="K426" s="18"/>
      <c r="L426" s="56">
        <f t="shared" si="29"/>
        <v>163754.59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163754.59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163754.59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163754.59</v>
      </c>
      <c r="I434" s="47">
        <f t="shared" si="32"/>
        <v>0</v>
      </c>
      <c r="J434" s="47">
        <f t="shared" si="32"/>
        <v>0</v>
      </c>
      <c r="K434" s="47">
        <f t="shared" si="32"/>
        <v>170000</v>
      </c>
      <c r="L434" s="47">
        <f t="shared" si="32"/>
        <v>333754.58999999997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200685.95</v>
      </c>
      <c r="G439" s="18">
        <v>1330268.51</v>
      </c>
      <c r="H439" s="18"/>
      <c r="I439" s="56">
        <f t="shared" ref="I439:I445" si="33">SUM(F439:H439)</f>
        <v>1530954.46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200685.95</v>
      </c>
      <c r="G446" s="13">
        <f>SUM(G439:G445)</f>
        <v>1330268.51</v>
      </c>
      <c r="H446" s="13">
        <f>SUM(H439:H445)</f>
        <v>0</v>
      </c>
      <c r="I446" s="13">
        <f>SUM(I439:I445)</f>
        <v>1530954.46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200685.95</v>
      </c>
      <c r="G459" s="18">
        <v>1330268.51</v>
      </c>
      <c r="H459" s="18"/>
      <c r="I459" s="56">
        <f t="shared" si="34"/>
        <v>1530954.46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200685.95</v>
      </c>
      <c r="G460" s="83">
        <f>SUM(G454:G459)</f>
        <v>1330268.51</v>
      </c>
      <c r="H460" s="83">
        <f>SUM(H454:H459)</f>
        <v>0</v>
      </c>
      <c r="I460" s="83">
        <f>SUM(I454:I459)</f>
        <v>1530954.46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200685.95</v>
      </c>
      <c r="G461" s="42">
        <f>G452+G460</f>
        <v>1330268.51</v>
      </c>
      <c r="H461" s="42">
        <f>H452+H460</f>
        <v>0</v>
      </c>
      <c r="I461" s="42">
        <f>I452+I460</f>
        <v>1530954.46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36543.050000000003</v>
      </c>
      <c r="G465" s="18">
        <v>12054.65</v>
      </c>
      <c r="H465" s="18">
        <v>0</v>
      </c>
      <c r="I465" s="18">
        <v>-404076.74</v>
      </c>
      <c r="J465" s="18">
        <v>1720795.38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12545656.130000001</v>
      </c>
      <c r="G468" s="18">
        <v>181710.97</v>
      </c>
      <c r="H468" s="18">
        <v>130576.05</v>
      </c>
      <c r="I468" s="18">
        <v>5872891</v>
      </c>
      <c r="J468" s="18">
        <v>143913.67000000001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12545656.130000001</v>
      </c>
      <c r="G470" s="53">
        <f>SUM(G468:G469)</f>
        <v>181710.97</v>
      </c>
      <c r="H470" s="53">
        <f>SUM(H468:H469)</f>
        <v>130576.05</v>
      </c>
      <c r="I470" s="53">
        <f>SUM(I468:I469)</f>
        <v>5872891</v>
      </c>
      <c r="J470" s="53">
        <f>SUM(J468:J469)</f>
        <v>143913.67000000001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12917910.609999999</v>
      </c>
      <c r="G472" s="18">
        <v>193683.84</v>
      </c>
      <c r="H472" s="18">
        <v>130576.05</v>
      </c>
      <c r="I472" s="18">
        <v>4290741.1100000003</v>
      </c>
      <c r="J472" s="18">
        <v>333754.59000000003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12917910.609999999</v>
      </c>
      <c r="G474" s="53">
        <f>SUM(G472:G473)</f>
        <v>193683.84</v>
      </c>
      <c r="H474" s="53">
        <f>SUM(H472:H473)</f>
        <v>130576.05</v>
      </c>
      <c r="I474" s="53">
        <f>SUM(I472:I473)</f>
        <v>4290741.1100000003</v>
      </c>
      <c r="J474" s="53">
        <f>SUM(J472:J473)</f>
        <v>333754.59000000003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-335711.42999999784</v>
      </c>
      <c r="G476" s="53">
        <f>(G465+G470)- G474</f>
        <v>81.779999999998836</v>
      </c>
      <c r="H476" s="53">
        <f>(H465+H470)- H474</f>
        <v>0</v>
      </c>
      <c r="I476" s="53">
        <f>(I465+I470)- I474</f>
        <v>1178073.1499999994</v>
      </c>
      <c r="J476" s="53">
        <f>(J465+J470)- J474</f>
        <v>1530954.4599999997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 t="s">
        <v>912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 t="s">
        <v>911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3985000</v>
      </c>
      <c r="G493" s="18">
        <v>5798000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6.23</v>
      </c>
      <c r="G494" s="18">
        <v>3.0350000000000001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195000</v>
      </c>
      <c r="G495" s="18">
        <v>0</v>
      </c>
      <c r="H495" s="18"/>
      <c r="I495" s="18"/>
      <c r="J495" s="18"/>
      <c r="K495" s="53">
        <f>SUM(F495:J495)</f>
        <v>195000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5798000</v>
      </c>
      <c r="H496" s="18"/>
      <c r="I496" s="18"/>
      <c r="J496" s="18"/>
      <c r="K496" s="53">
        <f t="shared" ref="K496:K503" si="35">SUM(F496:J496)</f>
        <v>5798000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195000</v>
      </c>
      <c r="G497" s="18">
        <v>0</v>
      </c>
      <c r="H497" s="18"/>
      <c r="I497" s="18"/>
      <c r="J497" s="18"/>
      <c r="K497" s="53">
        <f t="shared" si="35"/>
        <v>195000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>
        <v>5798000</v>
      </c>
      <c r="H498" s="204"/>
      <c r="I498" s="204"/>
      <c r="J498" s="204"/>
      <c r="K498" s="205">
        <f t="shared" si="35"/>
        <v>5798000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>
        <v>2454458.42</v>
      </c>
      <c r="H499" s="18"/>
      <c r="I499" s="18"/>
      <c r="J499" s="18"/>
      <c r="K499" s="53">
        <f t="shared" si="35"/>
        <v>2454458.42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8252458.4199999999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8252458.4199999999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0</v>
      </c>
      <c r="G501" s="204">
        <v>136000</v>
      </c>
      <c r="H501" s="204"/>
      <c r="I501" s="204"/>
      <c r="J501" s="204"/>
      <c r="K501" s="205">
        <f t="shared" si="35"/>
        <v>136000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>
        <f>143604.62+111417.38</f>
        <v>255022</v>
      </c>
      <c r="H502" s="18"/>
      <c r="I502" s="18"/>
      <c r="J502" s="18"/>
      <c r="K502" s="53">
        <f t="shared" si="35"/>
        <v>255022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391022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391022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F198+F277-F526</f>
        <v>1564890.24</v>
      </c>
      <c r="G521" s="18">
        <f t="shared" ref="G521:K521" si="36">G198+G277</f>
        <v>732873.09</v>
      </c>
      <c r="H521" s="18">
        <f>H198+H277-H526</f>
        <v>262547.99</v>
      </c>
      <c r="I521" s="18">
        <f t="shared" si="36"/>
        <v>9738.42</v>
      </c>
      <c r="J521" s="18">
        <f t="shared" si="36"/>
        <v>4127.17</v>
      </c>
      <c r="K521" s="18">
        <f t="shared" si="36"/>
        <v>599.5</v>
      </c>
      <c r="L521" s="88">
        <f>SUM(F521:K521)</f>
        <v>2574776.41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F216+F296</f>
        <v>0</v>
      </c>
      <c r="G522" s="18">
        <f t="shared" ref="G522:K522" si="37">G216+G296</f>
        <v>0</v>
      </c>
      <c r="H522" s="18">
        <f t="shared" si="37"/>
        <v>0</v>
      </c>
      <c r="I522" s="18">
        <f t="shared" si="37"/>
        <v>0</v>
      </c>
      <c r="J522" s="18">
        <f t="shared" si="37"/>
        <v>0</v>
      </c>
      <c r="K522" s="18">
        <f t="shared" si="37"/>
        <v>0</v>
      </c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F234+F315</f>
        <v>0</v>
      </c>
      <c r="G523" s="18">
        <f t="shared" ref="G523:K523" si="38">G234+G315</f>
        <v>0</v>
      </c>
      <c r="H523" s="18">
        <f t="shared" si="38"/>
        <v>939298.34</v>
      </c>
      <c r="I523" s="18">
        <f t="shared" si="38"/>
        <v>0</v>
      </c>
      <c r="J523" s="18">
        <f t="shared" si="38"/>
        <v>0</v>
      </c>
      <c r="K523" s="18">
        <f t="shared" si="38"/>
        <v>0</v>
      </c>
      <c r="L523" s="88">
        <f>SUM(F523:K523)</f>
        <v>939298.34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1564890.24</v>
      </c>
      <c r="G524" s="108">
        <f t="shared" ref="G524:L524" si="39">SUM(G521:G523)</f>
        <v>732873.09</v>
      </c>
      <c r="H524" s="108">
        <f t="shared" si="39"/>
        <v>1201846.33</v>
      </c>
      <c r="I524" s="108">
        <f t="shared" si="39"/>
        <v>9738.42</v>
      </c>
      <c r="J524" s="108">
        <f t="shared" si="39"/>
        <v>4127.17</v>
      </c>
      <c r="K524" s="108">
        <f t="shared" si="39"/>
        <v>599.5</v>
      </c>
      <c r="L524" s="89">
        <f t="shared" si="39"/>
        <v>3514074.75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54344</v>
      </c>
      <c r="G526" s="18"/>
      <c r="H526" s="18">
        <f>8715+45569.1+6077.5+1984.16+3480.36+1233.86+232</f>
        <v>67291.98</v>
      </c>
      <c r="I526" s="18"/>
      <c r="J526" s="18"/>
      <c r="K526" s="18"/>
      <c r="L526" s="88">
        <f>SUM(F526:K526)</f>
        <v>121635.98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54344</v>
      </c>
      <c r="G529" s="89">
        <f t="shared" ref="G529:L529" si="40">SUM(G526:G528)</f>
        <v>0</v>
      </c>
      <c r="H529" s="89">
        <f t="shared" si="40"/>
        <v>67291.98</v>
      </c>
      <c r="I529" s="89">
        <f t="shared" si="40"/>
        <v>0</v>
      </c>
      <c r="J529" s="89">
        <f t="shared" si="40"/>
        <v>0</v>
      </c>
      <c r="K529" s="89">
        <f t="shared" si="40"/>
        <v>0</v>
      </c>
      <c r="L529" s="89">
        <f t="shared" si="40"/>
        <v>121635.98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14621.672994999999</v>
      </c>
      <c r="G531" s="18">
        <v>6206.0365780623406</v>
      </c>
      <c r="H531" s="18">
        <v>1090.6314950000001</v>
      </c>
      <c r="I531" s="18">
        <v>0</v>
      </c>
      <c r="J531" s="18">
        <v>0</v>
      </c>
      <c r="K531" s="18">
        <v>0</v>
      </c>
      <c r="L531" s="88">
        <f>SUM(F531:K531)</f>
        <v>21918.341068062342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14621.672994999999</v>
      </c>
      <c r="G534" s="89">
        <f t="shared" ref="G534:L534" si="41">SUM(G531:G533)</f>
        <v>6206.0365780623406</v>
      </c>
      <c r="H534" s="89">
        <f t="shared" si="41"/>
        <v>1090.6314950000001</v>
      </c>
      <c r="I534" s="89">
        <f t="shared" si="41"/>
        <v>0</v>
      </c>
      <c r="J534" s="89">
        <f t="shared" si="41"/>
        <v>0</v>
      </c>
      <c r="K534" s="89">
        <f t="shared" si="41"/>
        <v>0</v>
      </c>
      <c r="L534" s="89">
        <f t="shared" si="41"/>
        <v>21918.341068062342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3592.08</v>
      </c>
      <c r="I536" s="18"/>
      <c r="J536" s="18"/>
      <c r="K536" s="18"/>
      <c r="L536" s="88">
        <f>SUM(F536:K536)</f>
        <v>3592.08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2">SUM(G536:G538)</f>
        <v>0</v>
      </c>
      <c r="H539" s="89">
        <f t="shared" si="42"/>
        <v>3592.08</v>
      </c>
      <c r="I539" s="89">
        <f t="shared" si="42"/>
        <v>0</v>
      </c>
      <c r="J539" s="89">
        <f t="shared" si="42"/>
        <v>0</v>
      </c>
      <c r="K539" s="89">
        <f t="shared" si="42"/>
        <v>0</v>
      </c>
      <c r="L539" s="89">
        <f t="shared" si="42"/>
        <v>3592.08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41660</f>
        <v>41660</v>
      </c>
      <c r="I541" s="18"/>
      <c r="J541" s="18"/>
      <c r="K541" s="18"/>
      <c r="L541" s="88">
        <f>SUM(F541:K541)</f>
        <v>41660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3">SUM(G541:G543)</f>
        <v>0</v>
      </c>
      <c r="H544" s="193">
        <f t="shared" si="43"/>
        <v>41660</v>
      </c>
      <c r="I544" s="193">
        <f t="shared" si="43"/>
        <v>0</v>
      </c>
      <c r="J544" s="193">
        <f t="shared" si="43"/>
        <v>0</v>
      </c>
      <c r="K544" s="193">
        <f t="shared" si="43"/>
        <v>0</v>
      </c>
      <c r="L544" s="193">
        <f t="shared" si="43"/>
        <v>41660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1633855.9129949999</v>
      </c>
      <c r="G545" s="89">
        <f t="shared" ref="G545:L545" si="44">G524+G529+G534+G539+G544</f>
        <v>739079.12657806231</v>
      </c>
      <c r="H545" s="89">
        <f t="shared" si="44"/>
        <v>1315481.0214950002</v>
      </c>
      <c r="I545" s="89">
        <f t="shared" si="44"/>
        <v>9738.42</v>
      </c>
      <c r="J545" s="89">
        <f t="shared" si="44"/>
        <v>4127.17</v>
      </c>
      <c r="K545" s="89">
        <f t="shared" si="44"/>
        <v>599.5</v>
      </c>
      <c r="L545" s="89">
        <f t="shared" si="44"/>
        <v>3702881.1510680625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2574776.41</v>
      </c>
      <c r="G549" s="87">
        <f>L526</f>
        <v>121635.98</v>
      </c>
      <c r="H549" s="87">
        <f>L531</f>
        <v>21918.341068062342</v>
      </c>
      <c r="I549" s="87">
        <f>L536</f>
        <v>3592.08</v>
      </c>
      <c r="J549" s="87">
        <f>L541</f>
        <v>41660</v>
      </c>
      <c r="K549" s="87">
        <f>SUM(F549:J549)</f>
        <v>2763582.8110680627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939298.34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939298.34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5">SUM(F549:F551)</f>
        <v>3514074.75</v>
      </c>
      <c r="G552" s="89">
        <f t="shared" si="45"/>
        <v>121635.98</v>
      </c>
      <c r="H552" s="89">
        <f t="shared" si="45"/>
        <v>21918.341068062342</v>
      </c>
      <c r="I552" s="89">
        <f t="shared" si="45"/>
        <v>3592.08</v>
      </c>
      <c r="J552" s="89">
        <f t="shared" si="45"/>
        <v>41660</v>
      </c>
      <c r="K552" s="89">
        <f t="shared" si="45"/>
        <v>3702881.1510680625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6">SUM(F557:F559)</f>
        <v>0</v>
      </c>
      <c r="G560" s="108">
        <f t="shared" si="46"/>
        <v>0</v>
      </c>
      <c r="H560" s="108">
        <f t="shared" si="46"/>
        <v>0</v>
      </c>
      <c r="I560" s="108">
        <f t="shared" si="46"/>
        <v>0</v>
      </c>
      <c r="J560" s="108">
        <f t="shared" si="46"/>
        <v>0</v>
      </c>
      <c r="K560" s="108">
        <f t="shared" si="46"/>
        <v>0</v>
      </c>
      <c r="L560" s="89">
        <f t="shared" si="46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7">SUM(F562:F564)</f>
        <v>0</v>
      </c>
      <c r="G565" s="89">
        <f t="shared" si="47"/>
        <v>0</v>
      </c>
      <c r="H565" s="89">
        <f t="shared" si="47"/>
        <v>0</v>
      </c>
      <c r="I565" s="89">
        <f t="shared" si="47"/>
        <v>0</v>
      </c>
      <c r="J565" s="89">
        <f t="shared" si="47"/>
        <v>0</v>
      </c>
      <c r="K565" s="89">
        <f t="shared" si="47"/>
        <v>0</v>
      </c>
      <c r="L565" s="89">
        <f t="shared" si="47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8">SUM(G567:G569)</f>
        <v>0</v>
      </c>
      <c r="H570" s="193">
        <f t="shared" si="48"/>
        <v>0</v>
      </c>
      <c r="I570" s="193">
        <f t="shared" si="48"/>
        <v>0</v>
      </c>
      <c r="J570" s="193">
        <f t="shared" si="48"/>
        <v>0</v>
      </c>
      <c r="K570" s="193">
        <f t="shared" si="48"/>
        <v>0</v>
      </c>
      <c r="L570" s="193">
        <f t="shared" si="48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9">G560+G565+G570</f>
        <v>0</v>
      </c>
      <c r="H571" s="89">
        <f t="shared" si="49"/>
        <v>0</v>
      </c>
      <c r="I571" s="89">
        <f t="shared" si="49"/>
        <v>0</v>
      </c>
      <c r="J571" s="89">
        <f t="shared" si="49"/>
        <v>0</v>
      </c>
      <c r="K571" s="89">
        <f t="shared" si="49"/>
        <v>0</v>
      </c>
      <c r="L571" s="89">
        <f t="shared" si="49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1798995</v>
      </c>
      <c r="G575" s="18"/>
      <c r="H575" s="18">
        <v>0</v>
      </c>
      <c r="I575" s="87">
        <f>SUM(F575:H575)</f>
        <v>1798995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50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50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50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51844</v>
      </c>
      <c r="G579" s="18">
        <v>0</v>
      </c>
      <c r="H579" s="18">
        <v>0</v>
      </c>
      <c r="I579" s="87">
        <f t="shared" si="50"/>
        <v>51844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61365.82</v>
      </c>
      <c r="I580" s="87">
        <f t="shared" si="50"/>
        <v>61365.82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50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12601.85</v>
      </c>
      <c r="G582" s="18"/>
      <c r="H582" s="18">
        <v>877932.52</v>
      </c>
      <c r="I582" s="87">
        <f t="shared" si="50"/>
        <v>890534.37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50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50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50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50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181536.29</v>
      </c>
      <c r="I591" s="18">
        <v>110352.98</v>
      </c>
      <c r="J591" s="18">
        <v>157808.51999999999</v>
      </c>
      <c r="K591" s="104">
        <f t="shared" ref="K591:K597" si="51">SUM(H591:J591)</f>
        <v>449697.79000000004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41660</v>
      </c>
      <c r="I592" s="18"/>
      <c r="J592" s="18"/>
      <c r="K592" s="104">
        <f t="shared" si="51"/>
        <v>41660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51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51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8240.01</v>
      </c>
      <c r="I595" s="18"/>
      <c r="J595" s="18"/>
      <c r="K595" s="104">
        <f t="shared" si="51"/>
        <v>8240.01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1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1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231436.30000000002</v>
      </c>
      <c r="I598" s="108">
        <f>SUM(I591:I597)</f>
        <v>110352.98</v>
      </c>
      <c r="J598" s="108">
        <f>SUM(J591:J597)</f>
        <v>157808.51999999999</v>
      </c>
      <c r="K598" s="108">
        <f>SUM(K591:K597)</f>
        <v>499597.80000000005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113115.86</v>
      </c>
      <c r="I604" s="18"/>
      <c r="J604" s="18"/>
      <c r="K604" s="104">
        <f>SUM(H604:J604)</f>
        <v>113115.86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113115.86</v>
      </c>
      <c r="I605" s="108">
        <f>SUM(I602:I604)</f>
        <v>0</v>
      </c>
      <c r="J605" s="108">
        <f>SUM(J602:J604)</f>
        <v>0</v>
      </c>
      <c r="K605" s="108">
        <f>SUM(K602:K604)</f>
        <v>113115.86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42640.54</v>
      </c>
      <c r="G611" s="18">
        <f>23.57+4.65+3.15+4702.4+3484.93</f>
        <v>8218.6999999999989</v>
      </c>
      <c r="H611" s="18">
        <f>1984.16+3480.36+1233.86+232+9459.5</f>
        <v>16389.88</v>
      </c>
      <c r="I611" s="18"/>
      <c r="J611" s="18"/>
      <c r="K611" s="18"/>
      <c r="L611" s="88">
        <f>SUM(F611:K611)</f>
        <v>67249.119999999995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2">SUM(F611:F613)</f>
        <v>42640.54</v>
      </c>
      <c r="G614" s="108">
        <f t="shared" si="52"/>
        <v>8218.6999999999989</v>
      </c>
      <c r="H614" s="108">
        <f t="shared" si="52"/>
        <v>16389.88</v>
      </c>
      <c r="I614" s="108">
        <f t="shared" si="52"/>
        <v>0</v>
      </c>
      <c r="J614" s="108">
        <f t="shared" si="52"/>
        <v>0</v>
      </c>
      <c r="K614" s="108">
        <f t="shared" si="52"/>
        <v>0</v>
      </c>
      <c r="L614" s="89">
        <f t="shared" si="52"/>
        <v>67249.119999999995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6783735.4199999999</v>
      </c>
      <c r="H617" s="109">
        <f>SUM(F52)</f>
        <v>6783735.4200000009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19535.650000000001</v>
      </c>
      <c r="H618" s="109">
        <f>SUM(G52)</f>
        <v>19535.649999999998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58268.959999999999</v>
      </c>
      <c r="H619" s="109">
        <f>SUM(H52)</f>
        <v>58268.959999999999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1170470.3700000001</v>
      </c>
      <c r="H620" s="109">
        <f>SUM(I52)</f>
        <v>1170470.3699999999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1530954.46</v>
      </c>
      <c r="H621" s="109">
        <f>SUM(J52)</f>
        <v>1530954.46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-335711.43</v>
      </c>
      <c r="H622" s="109">
        <f>F476</f>
        <v>-335711.42999999784</v>
      </c>
      <c r="I622" s="121" t="s">
        <v>101</v>
      </c>
      <c r="J622" s="109">
        <f t="shared" ref="J622:J655" si="53">G622-H622</f>
        <v>-2.1536834537982941E-9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81.78</v>
      </c>
      <c r="H623" s="109">
        <f>G476</f>
        <v>81.779999999998836</v>
      </c>
      <c r="I623" s="121" t="s">
        <v>102</v>
      </c>
      <c r="J623" s="109">
        <f t="shared" si="53"/>
        <v>1.1652900866465643E-12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3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1178073.1499999999</v>
      </c>
      <c r="H625" s="109">
        <f>I476</f>
        <v>1178073.1499999994</v>
      </c>
      <c r="I625" s="121" t="s">
        <v>104</v>
      </c>
      <c r="J625" s="109">
        <f t="shared" si="53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1530954.46</v>
      </c>
      <c r="H626" s="109">
        <f>J476</f>
        <v>1530954.4599999997</v>
      </c>
      <c r="I626" s="140" t="s">
        <v>105</v>
      </c>
      <c r="J626" s="109">
        <f t="shared" si="53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12545656.130000001</v>
      </c>
      <c r="H627" s="104">
        <f>SUM(F468)</f>
        <v>12545656.130000001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181710.96999999997</v>
      </c>
      <c r="H628" s="104">
        <f>SUM(G468)</f>
        <v>181710.97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130576.04999999999</v>
      </c>
      <c r="H629" s="104">
        <f>SUM(H468)</f>
        <v>130576.05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5872891</v>
      </c>
      <c r="H630" s="104">
        <f>SUM(I468)</f>
        <v>5872891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143913.66999999998</v>
      </c>
      <c r="H631" s="104">
        <f>SUM(J468)</f>
        <v>143913.67000000001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12917910.609999999</v>
      </c>
      <c r="H632" s="104">
        <f>SUM(F472)</f>
        <v>12917910.609999999</v>
      </c>
      <c r="I632" s="140" t="s">
        <v>111</v>
      </c>
      <c r="J632" s="109">
        <f t="shared" si="53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130576.05</v>
      </c>
      <c r="H633" s="104">
        <f>SUM(H472)</f>
        <v>130576.05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92925.349999999991</v>
      </c>
      <c r="H634" s="104">
        <f>I369</f>
        <v>92925.349999999991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193683.83999999997</v>
      </c>
      <c r="H635" s="104">
        <f>SUM(G472)</f>
        <v>193683.84</v>
      </c>
      <c r="I635" s="140" t="s">
        <v>114</v>
      </c>
      <c r="J635" s="109">
        <f t="shared" si="53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4290741.1100000003</v>
      </c>
      <c r="H636" s="104">
        <f>SUM(I472)</f>
        <v>4290741.1100000003</v>
      </c>
      <c r="I636" s="140" t="s">
        <v>116</v>
      </c>
      <c r="J636" s="109">
        <f t="shared" si="53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143913.67000000001</v>
      </c>
      <c r="H637" s="164">
        <f>SUM(J468)</f>
        <v>143913.67000000001</v>
      </c>
      <c r="I637" s="165" t="s">
        <v>110</v>
      </c>
      <c r="J637" s="151">
        <f t="shared" si="53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333754.58999999997</v>
      </c>
      <c r="H638" s="164">
        <f>SUM(J472)</f>
        <v>333754.59000000003</v>
      </c>
      <c r="I638" s="165" t="s">
        <v>117</v>
      </c>
      <c r="J638" s="151">
        <f t="shared" si="53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200685.95</v>
      </c>
      <c r="H639" s="104">
        <f>SUM(F461)</f>
        <v>200685.95</v>
      </c>
      <c r="I639" s="140" t="s">
        <v>857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1330268.51</v>
      </c>
      <c r="H640" s="104">
        <f>SUM(G461)</f>
        <v>1330268.51</v>
      </c>
      <c r="I640" s="140" t="s">
        <v>858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1530954.46</v>
      </c>
      <c r="H642" s="104">
        <f>SUM(I461)</f>
        <v>1530954.46</v>
      </c>
      <c r="I642" s="140" t="s">
        <v>860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83913.67</v>
      </c>
      <c r="H644" s="104">
        <f>H408</f>
        <v>83913.67</v>
      </c>
      <c r="I644" s="140" t="s">
        <v>481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60000</v>
      </c>
      <c r="H645" s="104">
        <f>G408</f>
        <v>60000</v>
      </c>
      <c r="I645" s="140" t="s">
        <v>482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143913.66999999998</v>
      </c>
      <c r="H646" s="104">
        <f>L408</f>
        <v>143913.67000000001</v>
      </c>
      <c r="I646" s="140" t="s">
        <v>478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499597.80000000005</v>
      </c>
      <c r="H647" s="104">
        <f>L208+L226+L244</f>
        <v>499597.80000000005</v>
      </c>
      <c r="I647" s="140" t="s">
        <v>397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113115.86</v>
      </c>
      <c r="H648" s="104">
        <f>(J257+J338)-(J255+J336)</f>
        <v>113115.85999999999</v>
      </c>
      <c r="I648" s="140" t="s">
        <v>703</v>
      </c>
      <c r="J648" s="109">
        <f t="shared" si="53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231436.30000000002</v>
      </c>
      <c r="H649" s="104">
        <f>H598</f>
        <v>231436.30000000002</v>
      </c>
      <c r="I649" s="140" t="s">
        <v>389</v>
      </c>
      <c r="J649" s="109">
        <f t="shared" si="53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110352.98</v>
      </c>
      <c r="H650" s="104">
        <f>I598</f>
        <v>110352.98</v>
      </c>
      <c r="I650" s="140" t="s">
        <v>390</v>
      </c>
      <c r="J650" s="109">
        <f t="shared" si="53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157808.52000000002</v>
      </c>
      <c r="H651" s="104">
        <f>J598</f>
        <v>157808.51999999999</v>
      </c>
      <c r="I651" s="140" t="s">
        <v>391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17060.25</v>
      </c>
      <c r="H652" s="104">
        <f>K263+K345</f>
        <v>17060.25</v>
      </c>
      <c r="I652" s="140" t="s">
        <v>398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60000</v>
      </c>
      <c r="H655" s="104">
        <f>K266+K347</f>
        <v>60000</v>
      </c>
      <c r="I655" s="140" t="s">
        <v>401</v>
      </c>
      <c r="J655" s="109">
        <f t="shared" si="53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11749975.41</v>
      </c>
      <c r="G660" s="19">
        <f>(L229+L309+L359)</f>
        <v>110352.98</v>
      </c>
      <c r="H660" s="19">
        <f>(L247+L328+L360)</f>
        <v>1097106.8599999999</v>
      </c>
      <c r="I660" s="19">
        <f>SUM(F660:H660)</f>
        <v>12957435.25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163885.50999999998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163885.50999999998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231436.30000000002</v>
      </c>
      <c r="G662" s="19">
        <f>(L226+L306)-(J226+J306)</f>
        <v>110352.98</v>
      </c>
      <c r="H662" s="19">
        <f>(L244+L325)-(J244+J325)</f>
        <v>157808.52000000002</v>
      </c>
      <c r="I662" s="19">
        <f>SUM(F662:H662)</f>
        <v>499597.80000000005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2043805.83</v>
      </c>
      <c r="G663" s="199">
        <f>SUM(G575:G587)+SUM(I602:I604)+L612</f>
        <v>0</v>
      </c>
      <c r="H663" s="199">
        <f>SUM(H575:H587)+SUM(J602:J604)+L613</f>
        <v>939298.34</v>
      </c>
      <c r="I663" s="19">
        <f>SUM(F663:H663)</f>
        <v>2983104.17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9310847.7699999996</v>
      </c>
      <c r="G664" s="19">
        <f>G660-SUM(G661:G663)</f>
        <v>0</v>
      </c>
      <c r="H664" s="19">
        <f>H660-SUM(H661:H663)</f>
        <v>0</v>
      </c>
      <c r="I664" s="19">
        <f>I660-SUM(I661:I663)</f>
        <v>9310847.7699999996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489.74</v>
      </c>
      <c r="G665" s="248"/>
      <c r="H665" s="248"/>
      <c r="I665" s="19">
        <f>SUM(F665:H665)</f>
        <v>489.74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19011.82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19011.82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19011.82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19011.82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75" orientation="landscape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25" zoomScaleNormal="125" zoomScalePageLayoutView="125" workbookViewId="0">
      <selection activeCell="F16" sqref="F16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785</v>
      </c>
      <c r="B1" s="232" t="str">
        <f>'DOE25'!A2</f>
        <v>Hanover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3071900.28</v>
      </c>
      <c r="C9" s="229">
        <f>'DOE25'!G197+'DOE25'!G215+'DOE25'!G233+'DOE25'!G276+'DOE25'!G295+'DOE25'!G314</f>
        <v>1310721.81</v>
      </c>
    </row>
    <row r="10" spans="1:3" x14ac:dyDescent="0.2">
      <c r="A10" t="s">
        <v>779</v>
      </c>
      <c r="B10" s="240">
        <v>2684819.13</v>
      </c>
      <c r="C10" s="240">
        <f>B10/B13*C9</f>
        <v>1145561.596679247</v>
      </c>
    </row>
    <row r="11" spans="1:3" x14ac:dyDescent="0.2">
      <c r="A11" t="s">
        <v>780</v>
      </c>
      <c r="B11" s="240">
        <v>260331.22</v>
      </c>
      <c r="C11" s="240">
        <f>B11/B13*C9</f>
        <v>111078.412961344</v>
      </c>
    </row>
    <row r="12" spans="1:3" x14ac:dyDescent="0.2">
      <c r="A12" t="s">
        <v>781</v>
      </c>
      <c r="B12" s="240">
        <v>126749.9299999997</v>
      </c>
      <c r="C12" s="240">
        <f>B12/B13*C9</f>
        <v>54081.800359409106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3071900.28</v>
      </c>
      <c r="C13" s="231">
        <f>SUM(C10:C12)</f>
        <v>1310721.81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1619234.24</v>
      </c>
      <c r="C18" s="229">
        <f>'DOE25'!G198+'DOE25'!G216+'DOE25'!G234+'DOE25'!G277+'DOE25'!G296+'DOE25'!G315</f>
        <v>732873.09</v>
      </c>
    </row>
    <row r="19" spans="1:3" x14ac:dyDescent="0.2">
      <c r="A19" t="s">
        <v>779</v>
      </c>
      <c r="B19" s="240">
        <v>773625.26</v>
      </c>
      <c r="C19" s="240">
        <f>B19/B22*C18</f>
        <v>350146.45861135778</v>
      </c>
    </row>
    <row r="20" spans="1:3" x14ac:dyDescent="0.2">
      <c r="A20" t="s">
        <v>780</v>
      </c>
      <c r="B20" s="240">
        <v>599810.43999999994</v>
      </c>
      <c r="C20" s="240">
        <f>B20/B22*C18</f>
        <v>271477.04743265529</v>
      </c>
    </row>
    <row r="21" spans="1:3" x14ac:dyDescent="0.2">
      <c r="A21" t="s">
        <v>781</v>
      </c>
      <c r="B21" s="240">
        <v>245798.54000000004</v>
      </c>
      <c r="C21" s="240">
        <f>B21/B22*C18</f>
        <v>111249.58395598688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1619234.24</v>
      </c>
      <c r="C22" s="231">
        <f>SUM(C19:C21)</f>
        <v>732873.09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/>
  <headerFooter alignWithMargins="0">
    <oddHeader>&amp;C&amp;A
FY2013-2014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  <pageSetUpPr fitToPage="1"/>
  </sheetPr>
  <dimension ref="A1:I51"/>
  <sheetViews>
    <sheetView zoomScale="125" zoomScaleNormal="125" zoomScalePageLayoutView="125" workbookViewId="0">
      <pane ySplit="4" topLeftCell="A5" activePane="bottomLeft" state="frozen"/>
      <selection activeCell="F46" sqref="F46"/>
      <selection pane="bottomLeft" activeCell="D12" sqref="D12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Hanover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9893209.8599999994</v>
      </c>
      <c r="D5" s="20">
        <f>SUM('DOE25'!L197:L200)+SUM('DOE25'!L215:L218)+SUM('DOE25'!L233:L236)-F5-G5</f>
        <v>9808409.6099999994</v>
      </c>
      <c r="E5" s="243"/>
      <c r="F5" s="255">
        <f>SUM('DOE25'!J197:J200)+SUM('DOE25'!J215:J218)+SUM('DOE25'!J233:J236)</f>
        <v>84200.75</v>
      </c>
      <c r="G5" s="53">
        <f>SUM('DOE25'!K197:K200)+SUM('DOE25'!K215:K218)+SUM('DOE25'!K233:K236)</f>
        <v>599.5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264973.29000000004</v>
      </c>
      <c r="D6" s="20">
        <f>'DOE25'!L202+'DOE25'!L220+'DOE25'!L238-F6-G6</f>
        <v>264973.29000000004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229521.55999999997</v>
      </c>
      <c r="D7" s="20">
        <f>'DOE25'!L203+'DOE25'!L221+'DOE25'!L239-F7-G7</f>
        <v>212406.62999999998</v>
      </c>
      <c r="E7" s="243"/>
      <c r="F7" s="255">
        <f>'DOE25'!J203+'DOE25'!J221+'DOE25'!J239</f>
        <v>17114.93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261516.99999999994</v>
      </c>
      <c r="D8" s="243"/>
      <c r="E8" s="20">
        <f>'DOE25'!L204+'DOE25'!L222+'DOE25'!L240-F8-G8-D9-D11</f>
        <v>256240.69999999995</v>
      </c>
      <c r="F8" s="255">
        <f>'DOE25'!J204+'DOE25'!J222+'DOE25'!J240</f>
        <v>0</v>
      </c>
      <c r="G8" s="53">
        <f>'DOE25'!K204+'DOE25'!K222+'DOE25'!K240</f>
        <v>5276.3</v>
      </c>
      <c r="H8" s="259"/>
    </row>
    <row r="9" spans="1:9" x14ac:dyDescent="0.2">
      <c r="A9" s="32">
        <v>2310</v>
      </c>
      <c r="B9" t="s">
        <v>818</v>
      </c>
      <c r="C9" s="245">
        <f t="shared" si="0"/>
        <v>73790.3</v>
      </c>
      <c r="D9" s="244">
        <v>73790.3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11100</v>
      </c>
      <c r="D10" s="243"/>
      <c r="E10" s="244">
        <v>11100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65512</v>
      </c>
      <c r="D11" s="244">
        <v>65512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661678.12</v>
      </c>
      <c r="D12" s="20">
        <f>'DOE25'!L205+'DOE25'!L223+'DOE25'!L241-F12-G12</f>
        <v>654345.93999999994</v>
      </c>
      <c r="E12" s="243"/>
      <c r="F12" s="255">
        <f>'DOE25'!J205+'DOE25'!J223+'DOE25'!J241</f>
        <v>6523.18</v>
      </c>
      <c r="G12" s="53">
        <f>'DOE25'!K205+'DOE25'!K223+'DOE25'!K241</f>
        <v>809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607138.94000000006</v>
      </c>
      <c r="D14" s="20">
        <f>'DOE25'!L207+'DOE25'!L225+'DOE25'!L243-F14-G14</f>
        <v>601861.94000000006</v>
      </c>
      <c r="E14" s="243"/>
      <c r="F14" s="255">
        <f>'DOE25'!J207+'DOE25'!J225+'DOE25'!J243</f>
        <v>5277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499597.80000000005</v>
      </c>
      <c r="D15" s="20">
        <f>'DOE25'!L208+'DOE25'!L226+'DOE25'!L244-F15-G15</f>
        <v>499597.80000000005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76236.490000000005</v>
      </c>
      <c r="D16" s="243"/>
      <c r="E16" s="20">
        <f>'DOE25'!L209+'DOE25'!L227+'DOE25'!L245-F16-G16</f>
        <v>76236.490000000005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207675</v>
      </c>
      <c r="D25" s="243"/>
      <c r="E25" s="243"/>
      <c r="F25" s="258"/>
      <c r="G25" s="256"/>
      <c r="H25" s="257">
        <f>'DOE25'!L260+'DOE25'!L261+'DOE25'!L341+'DOE25'!L342</f>
        <v>207675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100758.48999999998</v>
      </c>
      <c r="D29" s="20">
        <f>'DOE25'!L358+'DOE25'!L359+'DOE25'!L360-'DOE25'!I367-F29-G29</f>
        <v>100415.48999999998</v>
      </c>
      <c r="E29" s="243"/>
      <c r="F29" s="255">
        <f>'DOE25'!J358+'DOE25'!J359+'DOE25'!J360</f>
        <v>343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130576.05</v>
      </c>
      <c r="D31" s="20">
        <f>'DOE25'!L290+'DOE25'!L309+'DOE25'!L328+'DOE25'!L333+'DOE25'!L334+'DOE25'!L335-F31-G31</f>
        <v>130576.05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12411889.050000001</v>
      </c>
      <c r="E33" s="246">
        <f>SUM(E5:E31)</f>
        <v>343577.18999999994</v>
      </c>
      <c r="F33" s="246">
        <f>SUM(F5:F31)</f>
        <v>113458.85999999999</v>
      </c>
      <c r="G33" s="246">
        <f>SUM(G5:G31)</f>
        <v>6684.8</v>
      </c>
      <c r="H33" s="246">
        <f>SUM(H5:H31)</f>
        <v>207675</v>
      </c>
    </row>
    <row r="35" spans="2:8" ht="12" thickBot="1" x14ac:dyDescent="0.25">
      <c r="B35" s="253" t="s">
        <v>847</v>
      </c>
      <c r="D35" s="254">
        <f>E33</f>
        <v>343577.18999999994</v>
      </c>
      <c r="E35" s="249"/>
    </row>
    <row r="36" spans="2:8" ht="12" thickTop="1" x14ac:dyDescent="0.2">
      <c r="B36" t="s">
        <v>815</v>
      </c>
      <c r="D36" s="20">
        <f>D33</f>
        <v>12411889.050000001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scale="89" orientation="landscape"/>
  <headerFooter alignWithMargins="0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125" zoomScaleNormal="125" zoomScalePageLayoutView="125" workbookViewId="0">
      <pane ySplit="2" topLeftCell="A105" activePane="bottomLeft" state="frozen"/>
      <selection activeCell="F46" sqref="F46"/>
      <selection pane="bottomLeft" activeCell="C45" sqref="C45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Hanover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806928.73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1530954.46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196.23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19388.68</v>
      </c>
      <c r="E11" s="95">
        <f>'DOE25'!H12</f>
        <v>0</v>
      </c>
      <c r="F11" s="95">
        <f>'DOE25'!I12</f>
        <v>1170470.3700000001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178522.6</v>
      </c>
      <c r="D12" s="95">
        <f>'DOE25'!G13</f>
        <v>146.97</v>
      </c>
      <c r="E12" s="95">
        <f>'DOE25'!H13</f>
        <v>58268.959999999999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821.4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-733.54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5798000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6783735.4199999999</v>
      </c>
      <c r="D18" s="41">
        <f>SUM(D8:D17)</f>
        <v>19535.650000000001</v>
      </c>
      <c r="E18" s="41">
        <f>SUM(E8:E17)</f>
        <v>58268.959999999999</v>
      </c>
      <c r="F18" s="41">
        <f>SUM(F8:F17)</f>
        <v>1170470.3700000001</v>
      </c>
      <c r="G18" s="41">
        <f>SUM(G8:G17)</f>
        <v>1530954.46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1131590.0900000001</v>
      </c>
      <c r="D21" s="95">
        <f>'DOE25'!G22</f>
        <v>0</v>
      </c>
      <c r="E21" s="95">
        <f>'DOE25'!H22</f>
        <v>58268.959999999999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150531.35999999999</v>
      </c>
      <c r="D23" s="95">
        <f>'DOE25'!G24</f>
        <v>241.7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-7602.78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19569.21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2720</v>
      </c>
      <c r="D29" s="95">
        <f>'DOE25'!G30</f>
        <v>19212.169999999998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5815036.1900000004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7119446.8500000006</v>
      </c>
      <c r="D31" s="41">
        <f>SUM(D21:D30)</f>
        <v>19453.87</v>
      </c>
      <c r="E31" s="41">
        <f>SUM(E21:E30)</f>
        <v>58268.959999999999</v>
      </c>
      <c r="F31" s="41">
        <f>SUM(F21:F30)</f>
        <v>-7602.78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81.78</v>
      </c>
      <c r="E47" s="95">
        <f>'DOE25'!H48</f>
        <v>0</v>
      </c>
      <c r="F47" s="95">
        <f>'DOE25'!I48</f>
        <v>1178073.1499999999</v>
      </c>
      <c r="G47" s="95">
        <f>'DOE25'!J48</f>
        <v>1530954.46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-335711.43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-335711.43</v>
      </c>
      <c r="D50" s="41">
        <f>SUM(D34:D49)</f>
        <v>81.78</v>
      </c>
      <c r="E50" s="41">
        <f>SUM(E34:E49)</f>
        <v>0</v>
      </c>
      <c r="F50" s="41">
        <f>SUM(F34:F49)</f>
        <v>1178073.1499999999</v>
      </c>
      <c r="G50" s="41">
        <f>SUM(G34:G49)</f>
        <v>1530954.46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6783735.4200000009</v>
      </c>
      <c r="D51" s="41">
        <f>D50+D31</f>
        <v>19535.649999999998</v>
      </c>
      <c r="E51" s="41">
        <f>E50+E31</f>
        <v>58268.959999999999</v>
      </c>
      <c r="F51" s="41">
        <f>F50+F31</f>
        <v>1170470.3699999999</v>
      </c>
      <c r="G51" s="41">
        <f>G50+G31</f>
        <v>1530954.46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9208190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122957.81000000001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-76.790000000000006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83913.67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163421.10999999999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31438.58</v>
      </c>
      <c r="D61" s="95">
        <f>SUM('DOE25'!G98:G110)</f>
        <v>464.4</v>
      </c>
      <c r="E61" s="95">
        <f>SUM('DOE25'!H98:H110)</f>
        <v>0</v>
      </c>
      <c r="F61" s="95">
        <f>SUM('DOE25'!I98:I110)</f>
        <v>74891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154319.60000000003</v>
      </c>
      <c r="D62" s="130">
        <f>SUM(D57:D61)</f>
        <v>163885.50999999998</v>
      </c>
      <c r="E62" s="130">
        <f>SUM(E57:E61)</f>
        <v>0</v>
      </c>
      <c r="F62" s="130">
        <f>SUM(F57:F61)</f>
        <v>74891</v>
      </c>
      <c r="G62" s="130">
        <f>SUM(G57:G61)</f>
        <v>83913.67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9362509.5999999996</v>
      </c>
      <c r="D63" s="22">
        <f>D56+D62</f>
        <v>163885.50999999998</v>
      </c>
      <c r="E63" s="22">
        <f>E56+E62</f>
        <v>0</v>
      </c>
      <c r="F63" s="22">
        <f>F56+F62</f>
        <v>74891</v>
      </c>
      <c r="G63" s="22">
        <f>G56+G62</f>
        <v>83913.67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2311554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2311554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156036.73000000001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295974.25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452010.98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153166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2916730.98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92654.37</v>
      </c>
      <c r="D88" s="95">
        <f>SUM('DOE25'!G153:G161)</f>
        <v>765.21</v>
      </c>
      <c r="E88" s="95">
        <f>SUM('DOE25'!H153:H161)</f>
        <v>130576.04999999999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3761.18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96415.549999999988</v>
      </c>
      <c r="D91" s="131">
        <f>SUM(D85:D90)</f>
        <v>765.21</v>
      </c>
      <c r="E91" s="131">
        <f>SUM(E85:E90)</f>
        <v>130576.04999999999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5798000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17060.25</v>
      </c>
      <c r="E96" s="95">
        <f>'DOE25'!H179</f>
        <v>0</v>
      </c>
      <c r="F96" s="95">
        <f>'DOE25'!I179</f>
        <v>0</v>
      </c>
      <c r="G96" s="95">
        <f>'DOE25'!J179</f>
        <v>60000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170000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170000</v>
      </c>
      <c r="D103" s="86">
        <f>SUM(D93:D102)</f>
        <v>17060.25</v>
      </c>
      <c r="E103" s="86">
        <f>SUM(E93:E102)</f>
        <v>0</v>
      </c>
      <c r="F103" s="86">
        <f>SUM(F93:F102)</f>
        <v>5798000</v>
      </c>
      <c r="G103" s="86">
        <f>SUM(G93:G102)</f>
        <v>60000</v>
      </c>
    </row>
    <row r="104" spans="1:7" ht="12.75" thickTop="1" thickBot="1" x14ac:dyDescent="0.25">
      <c r="A104" s="33" t="s">
        <v>765</v>
      </c>
      <c r="C104" s="86">
        <f>C63+C81+C91+C103</f>
        <v>12545656.130000001</v>
      </c>
      <c r="D104" s="86">
        <f>D63+D81+D91+D103</f>
        <v>181710.96999999997</v>
      </c>
      <c r="E104" s="86">
        <f>E63+E81+E91+E103</f>
        <v>130576.04999999999</v>
      </c>
      <c r="F104" s="86">
        <f>F63+F81+F91+F103</f>
        <v>5872891</v>
      </c>
      <c r="G104" s="86">
        <f>G63+G81+G103</f>
        <v>143913.66999999998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6361926.1299999999</v>
      </c>
      <c r="D109" s="24" t="s">
        <v>289</v>
      </c>
      <c r="E109" s="95">
        <f>('DOE25'!L276)+('DOE25'!L295)+('DOE25'!L314)</f>
        <v>26149.05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3531283.7299999995</v>
      </c>
      <c r="D110" s="24" t="s">
        <v>289</v>
      </c>
      <c r="E110" s="95">
        <f>('DOE25'!L277)+('DOE25'!L296)+('DOE25'!L315)</f>
        <v>104427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9893209.8599999994</v>
      </c>
      <c r="D115" s="86">
        <f>SUM(D109:D114)</f>
        <v>0</v>
      </c>
      <c r="E115" s="86">
        <f>SUM(E109:E114)</f>
        <v>130576.05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264973.29000000004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229521.55999999997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400819.29999999993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661678.12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607138.94000000006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499597.80000000005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76236.490000000005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193683.83999999997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2739965.5</v>
      </c>
      <c r="D128" s="86">
        <f>SUM(D118:D127)</f>
        <v>193683.83999999997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4290741.1100000003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195000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12675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170000</v>
      </c>
    </row>
    <row r="135" spans="1:7" x14ac:dyDescent="0.2">
      <c r="A135" t="s">
        <v>233</v>
      </c>
      <c r="B135" s="32" t="s">
        <v>234</v>
      </c>
      <c r="C135" s="95">
        <f>'DOE25'!L263</f>
        <v>17060.25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35.64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143878.03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-83913.670000000013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284735.25</v>
      </c>
      <c r="D144" s="141">
        <f>SUM(D130:D143)</f>
        <v>0</v>
      </c>
      <c r="E144" s="141">
        <f>SUM(E130:E143)</f>
        <v>0</v>
      </c>
      <c r="F144" s="141">
        <f>SUM(F130:F143)</f>
        <v>4290741.1100000003</v>
      </c>
      <c r="G144" s="141">
        <f>SUM(G130:G143)</f>
        <v>170000</v>
      </c>
    </row>
    <row r="145" spans="1:9" ht="12.75" thickTop="1" thickBot="1" x14ac:dyDescent="0.25">
      <c r="A145" s="33" t="s">
        <v>244</v>
      </c>
      <c r="C145" s="86">
        <f>(C115+C128+C144)</f>
        <v>12917910.609999999</v>
      </c>
      <c r="D145" s="86">
        <f>(D115+D128+D144)</f>
        <v>193683.83999999997</v>
      </c>
      <c r="E145" s="86">
        <f>(E115+E128+E144)</f>
        <v>130576.05</v>
      </c>
      <c r="F145" s="86">
        <f>(F115+F128+F144)</f>
        <v>4290741.1100000003</v>
      </c>
      <c r="G145" s="86">
        <f>(G115+G128+G144)</f>
        <v>170000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01/95</v>
      </c>
      <c r="C152" s="152" t="str">
        <f>'DOE25'!G491</f>
        <v>02/15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01/15</v>
      </c>
      <c r="C153" s="152" t="str">
        <f>'DOE25'!G492</f>
        <v>02/36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3985000</v>
      </c>
      <c r="C154" s="137">
        <f>'DOE25'!G493</f>
        <v>5798000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6.23</v>
      </c>
      <c r="C155" s="137">
        <f>'DOE25'!G494</f>
        <v>3.0350000000000001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195000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195000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5798000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5798000</v>
      </c>
    </row>
    <row r="158" spans="1:9" x14ac:dyDescent="0.2">
      <c r="A158" s="22" t="s">
        <v>34</v>
      </c>
      <c r="B158" s="137">
        <f>'DOE25'!F497</f>
        <v>195000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195000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5798000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5798000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2454458.42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2454458.42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8252458.4199999999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8252458.4199999999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136000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136000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255022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255022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391022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391022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80" orientation="landscape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  <pageSetUpPr fitToPage="1"/>
  </sheetPr>
  <dimension ref="A1:D42"/>
  <sheetViews>
    <sheetView workbookViewId="0">
      <selection activeCell="B34" sqref="B34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Hanover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19012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19012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6388075</v>
      </c>
      <c r="D10" s="182">
        <f>ROUND((C10/$C$28)*100,1)</f>
        <v>49.9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3635711</v>
      </c>
      <c r="D11" s="182">
        <f>ROUND((C11/$C$28)*100,1)</f>
        <v>28.4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264973</v>
      </c>
      <c r="D15" s="182">
        <f t="shared" ref="D15:D27" si="0">ROUND((C15/$C$28)*100,1)</f>
        <v>2.1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229522</v>
      </c>
      <c r="D16" s="182">
        <f t="shared" si="0"/>
        <v>1.8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477056</v>
      </c>
      <c r="D17" s="182">
        <f t="shared" si="0"/>
        <v>3.7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661678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607139</v>
      </c>
      <c r="D20" s="182">
        <f t="shared" si="0"/>
        <v>4.7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499598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12675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29798.49000000002</v>
      </c>
      <c r="D27" s="182">
        <f t="shared" si="0"/>
        <v>0.2</v>
      </c>
    </row>
    <row r="28" spans="1:4" x14ac:dyDescent="0.2">
      <c r="B28" s="187" t="s">
        <v>723</v>
      </c>
      <c r="C28" s="180">
        <f>SUM(C10:C27)</f>
        <v>12806225.49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4290741</v>
      </c>
    </row>
    <row r="30" spans="1:4" x14ac:dyDescent="0.2">
      <c r="B30" s="187" t="s">
        <v>729</v>
      </c>
      <c r="C30" s="180">
        <f>SUM(C28:C29)</f>
        <v>17096966.490000002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195000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9208190</v>
      </c>
      <c r="D35" s="182">
        <f t="shared" ref="D35:D40" si="1">ROUND((C35/$C$41)*100,1)</f>
        <v>72.7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313124.26999999955</v>
      </c>
      <c r="D36" s="182">
        <f t="shared" si="1"/>
        <v>2.5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2311554</v>
      </c>
      <c r="D37" s="182">
        <f t="shared" si="1"/>
        <v>18.3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605177</v>
      </c>
      <c r="D38" s="182">
        <f t="shared" si="1"/>
        <v>4.8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227757</v>
      </c>
      <c r="D39" s="182">
        <f t="shared" si="1"/>
        <v>1.8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12665802.27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5798000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scale="99" orientation="portrait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  <pageSetUpPr fitToPage="1"/>
  </sheetPr>
  <dimension ref="A1:IV90"/>
  <sheetViews>
    <sheetView workbookViewId="0">
      <pane ySplit="3" topLeftCell="A8" activePane="bottomLeft" state="frozen"/>
      <selection activeCell="F46" sqref="F46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Hanover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0" orientation="portrait"/>
  <headerFooter alignWithMargins="0">
    <oddHeader>&amp;LDistrict Notes</oddHeader>
    <oddFooter>&amp;CPage &amp;P of &amp;N</oddFooter>
  </headerFooter>
  <extLst>
    <ext xmlns:mx="http://schemas.microsoft.com/office/mac/excel/2008/main" uri="{64002731-A6B0-56B0-2670-7721B7C09600}">
      <mx:PLV Mode="0" OnePage="0" WScale="85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2015-09-01T14:56:41Z</cp:lastPrinted>
  <dcterms:created xsi:type="dcterms:W3CDTF">1997-12-04T19:04:30Z</dcterms:created>
  <dcterms:modified xsi:type="dcterms:W3CDTF">2015-09-04T16:44:38Z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