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9" i="1" l="1"/>
  <c r="F44" i="1"/>
  <c r="F50" i="1"/>
  <c r="F472" i="1"/>
  <c r="K266" i="1"/>
  <c r="H179" i="1"/>
  <c r="F468" i="1"/>
  <c r="J96" i="1" l="1"/>
  <c r="I611" i="1"/>
  <c r="H611" i="1"/>
  <c r="G611" i="1"/>
  <c r="F611" i="1"/>
  <c r="H523" i="1"/>
  <c r="H522" i="1"/>
  <c r="I526" i="1"/>
  <c r="H526" i="1"/>
  <c r="J526" i="1"/>
  <c r="G526" i="1"/>
  <c r="F526" i="1"/>
  <c r="G521" i="1"/>
  <c r="F521" i="1"/>
  <c r="H521" i="1"/>
  <c r="I521" i="1"/>
  <c r="I358" i="1"/>
  <c r="H358" i="1"/>
  <c r="G358" i="1"/>
  <c r="H283" i="1"/>
  <c r="K283" i="1"/>
  <c r="I283" i="1"/>
  <c r="G283" i="1"/>
  <c r="F283" i="1"/>
  <c r="H282" i="1"/>
  <c r="G282" i="1"/>
  <c r="F282" i="1"/>
  <c r="I282" i="1"/>
  <c r="I281" i="1"/>
  <c r="K281" i="1"/>
  <c r="J281" i="1"/>
  <c r="K279" i="1"/>
  <c r="I279" i="1"/>
  <c r="H279" i="1"/>
  <c r="G279" i="1"/>
  <c r="F279" i="1"/>
  <c r="G277" i="1"/>
  <c r="F277" i="1"/>
  <c r="J276" i="1"/>
  <c r="I276" i="1"/>
  <c r="G276" i="1"/>
  <c r="F276" i="1"/>
  <c r="H244" i="1"/>
  <c r="H226" i="1"/>
  <c r="I205" i="1"/>
  <c r="I203" i="1"/>
  <c r="I202" i="1"/>
  <c r="H208" i="1"/>
  <c r="H204" i="1"/>
  <c r="H202" i="1"/>
  <c r="G204" i="1"/>
  <c r="G203" i="1"/>
  <c r="G202" i="1"/>
  <c r="G200" i="1"/>
  <c r="F204" i="1"/>
  <c r="F203" i="1"/>
  <c r="F202" i="1"/>
  <c r="F200" i="1"/>
  <c r="H63" i="1"/>
  <c r="H159" i="1"/>
  <c r="H155" i="1"/>
  <c r="H154" i="1"/>
  <c r="H150" i="1"/>
  <c r="G97" i="1"/>
  <c r="F110" i="1"/>
  <c r="H28" i="1"/>
  <c r="H24" i="1"/>
  <c r="H13" i="1"/>
  <c r="H9" i="1"/>
  <c r="H22" i="1"/>
  <c r="F12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C112" i="2" s="1"/>
  <c r="L215" i="1"/>
  <c r="L216" i="1"/>
  <c r="L217" i="1"/>
  <c r="L218" i="1"/>
  <c r="L233" i="1"/>
  <c r="L234" i="1"/>
  <c r="L235" i="1"/>
  <c r="L236" i="1"/>
  <c r="F6" i="13"/>
  <c r="G6" i="13"/>
  <c r="L202" i="1"/>
  <c r="C118" i="2" s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C20" i="10" s="1"/>
  <c r="L225" i="1"/>
  <c r="L243" i="1"/>
  <c r="F15" i="13"/>
  <c r="G15" i="13"/>
  <c r="L208" i="1"/>
  <c r="G649" i="1" s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G661" i="1" s="1"/>
  <c r="L359" i="1"/>
  <c r="L360" i="1"/>
  <c r="I367" i="1"/>
  <c r="J290" i="1"/>
  <c r="J309" i="1"/>
  <c r="J328" i="1"/>
  <c r="K290" i="1"/>
  <c r="K309" i="1"/>
  <c r="K328" i="1"/>
  <c r="L276" i="1"/>
  <c r="E109" i="2" s="1"/>
  <c r="L277" i="1"/>
  <c r="E110" i="2" s="1"/>
  <c r="L278" i="1"/>
  <c r="L279" i="1"/>
  <c r="L281" i="1"/>
  <c r="E118" i="2" s="1"/>
  <c r="L282" i="1"/>
  <c r="L283" i="1"/>
  <c r="L284" i="1"/>
  <c r="L285" i="1"/>
  <c r="C19" i="10" s="1"/>
  <c r="L286" i="1"/>
  <c r="L287" i="1"/>
  <c r="F662" i="1" s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L336" i="1"/>
  <c r="C11" i="13"/>
  <c r="C10" i="13"/>
  <c r="C9" i="13"/>
  <c r="L361" i="1"/>
  <c r="B4" i="12"/>
  <c r="B36" i="12"/>
  <c r="A40" i="12" s="1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3" i="1" s="1"/>
  <c r="C138" i="2" s="1"/>
  <c r="L390" i="1"/>
  <c r="L391" i="1"/>
  <c r="L392" i="1"/>
  <c r="L395" i="1"/>
  <c r="L396" i="1"/>
  <c r="L397" i="1"/>
  <c r="L398" i="1"/>
  <c r="L401" i="1" s="1"/>
  <c r="C139" i="2" s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I60" i="1"/>
  <c r="F79" i="1"/>
  <c r="C57" i="2" s="1"/>
  <c r="F94" i="1"/>
  <c r="F111" i="1"/>
  <c r="G111" i="1"/>
  <c r="G112" i="1" s="1"/>
  <c r="H79" i="1"/>
  <c r="E57" i="2" s="1"/>
  <c r="E62" i="2" s="1"/>
  <c r="E63" i="2" s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F169" i="1" s="1"/>
  <c r="G147" i="1"/>
  <c r="G162" i="1"/>
  <c r="H147" i="1"/>
  <c r="H162" i="1"/>
  <c r="H169" i="1" s="1"/>
  <c r="I147" i="1"/>
  <c r="I162" i="1"/>
  <c r="C12" i="10"/>
  <c r="C13" i="10"/>
  <c r="L250" i="1"/>
  <c r="L332" i="1"/>
  <c r="L254" i="1"/>
  <c r="C25" i="10"/>
  <c r="L268" i="1"/>
  <c r="L269" i="1"/>
  <c r="L349" i="1"/>
  <c r="L350" i="1"/>
  <c r="I665" i="1"/>
  <c r="I670" i="1"/>
  <c r="L229" i="1"/>
  <c r="G662" i="1"/>
  <c r="H662" i="1"/>
  <c r="I669" i="1"/>
  <c r="C42" i="10"/>
  <c r="C32" i="10"/>
  <c r="L374" i="1"/>
  <c r="L375" i="1"/>
  <c r="L376" i="1"/>
  <c r="L377" i="1"/>
  <c r="L378" i="1"/>
  <c r="L379" i="1"/>
  <c r="F130" i="2" s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G552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D18" i="2" s="1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F56" i="2"/>
  <c r="C58" i="2"/>
  <c r="E58" i="2"/>
  <c r="C59" i="2"/>
  <c r="D59" i="2"/>
  <c r="E59" i="2"/>
  <c r="F59" i="2"/>
  <c r="D60" i="2"/>
  <c r="C61" i="2"/>
  <c r="D61" i="2"/>
  <c r="E61" i="2"/>
  <c r="F61" i="2"/>
  <c r="C66" i="2"/>
  <c r="C70" i="2" s="1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D81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E103" i="2" s="1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10" i="2"/>
  <c r="C111" i="2"/>
  <c r="E111" i="2"/>
  <c r="E112" i="2"/>
  <c r="C113" i="2"/>
  <c r="E113" i="2"/>
  <c r="C114" i="2"/>
  <c r="E114" i="2"/>
  <c r="D115" i="2"/>
  <c r="F115" i="2"/>
  <c r="G115" i="2"/>
  <c r="E119" i="2"/>
  <c r="E120" i="2"/>
  <c r="E121" i="2"/>
  <c r="C122" i="2"/>
  <c r="E122" i="2"/>
  <c r="C123" i="2"/>
  <c r="E123" i="2"/>
  <c r="C125" i="2"/>
  <c r="E125" i="2"/>
  <c r="F128" i="2"/>
  <c r="G128" i="2"/>
  <c r="C130" i="2"/>
  <c r="E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19" i="1"/>
  <c r="G618" i="1" s="1"/>
  <c r="H19" i="1"/>
  <c r="I19" i="1"/>
  <c r="F32" i="1"/>
  <c r="F52" i="1" s="1"/>
  <c r="G32" i="1"/>
  <c r="H32" i="1"/>
  <c r="I32" i="1"/>
  <c r="H617" i="1"/>
  <c r="G52" i="1"/>
  <c r="H618" i="1" s="1"/>
  <c r="H51" i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F257" i="1" s="1"/>
  <c r="F271" i="1" s="1"/>
  <c r="G211" i="1"/>
  <c r="G257" i="1" s="1"/>
  <c r="G271" i="1" s="1"/>
  <c r="H211" i="1"/>
  <c r="I211" i="1"/>
  <c r="I257" i="1" s="1"/>
  <c r="I271" i="1" s="1"/>
  <c r="J211" i="1"/>
  <c r="K211" i="1"/>
  <c r="K257" i="1" s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L270" i="1"/>
  <c r="F290" i="1"/>
  <c r="F338" i="1" s="1"/>
  <c r="F352" i="1" s="1"/>
  <c r="G290" i="1"/>
  <c r="G338" i="1" s="1"/>
  <c r="G352" i="1" s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G634" i="1" s="1"/>
  <c r="J362" i="1"/>
  <c r="K362" i="1"/>
  <c r="I368" i="1"/>
  <c r="F369" i="1"/>
  <c r="G369" i="1"/>
  <c r="H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H643" i="1" s="1"/>
  <c r="G408" i="1"/>
  <c r="H408" i="1"/>
  <c r="H644" i="1" s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639" i="1" s="1"/>
  <c r="G446" i="1"/>
  <c r="H446" i="1"/>
  <c r="F452" i="1"/>
  <c r="G452" i="1"/>
  <c r="H452" i="1"/>
  <c r="I452" i="1"/>
  <c r="F460" i="1"/>
  <c r="G460" i="1"/>
  <c r="H460" i="1"/>
  <c r="I460" i="1"/>
  <c r="I461" i="1" s="1"/>
  <c r="H642" i="1" s="1"/>
  <c r="F461" i="1"/>
  <c r="G461" i="1"/>
  <c r="H640" i="1" s="1"/>
  <c r="J640" i="1" s="1"/>
  <c r="H461" i="1"/>
  <c r="F470" i="1"/>
  <c r="G470" i="1"/>
  <c r="H470" i="1"/>
  <c r="I470" i="1"/>
  <c r="J470" i="1"/>
  <c r="F474" i="1"/>
  <c r="F476" i="1" s="1"/>
  <c r="H622" i="1" s="1"/>
  <c r="G474" i="1"/>
  <c r="H474" i="1"/>
  <c r="I474" i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G545" i="1" s="1"/>
  <c r="H524" i="1"/>
  <c r="I524" i="1"/>
  <c r="I545" i="1" s="1"/>
  <c r="J524" i="1"/>
  <c r="K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K605" i="1" s="1"/>
  <c r="G648" i="1" s="1"/>
  <c r="H605" i="1"/>
  <c r="I605" i="1"/>
  <c r="J605" i="1"/>
  <c r="F614" i="1"/>
  <c r="G614" i="1"/>
  <c r="H614" i="1"/>
  <c r="I614" i="1"/>
  <c r="J614" i="1"/>
  <c r="K614" i="1"/>
  <c r="G617" i="1"/>
  <c r="J617" i="1" s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H635" i="1"/>
  <c r="H636" i="1"/>
  <c r="H637" i="1"/>
  <c r="H638" i="1"/>
  <c r="H639" i="1"/>
  <c r="G640" i="1"/>
  <c r="G641" i="1"/>
  <c r="H641" i="1"/>
  <c r="G643" i="1"/>
  <c r="G644" i="1"/>
  <c r="G645" i="1"/>
  <c r="H645" i="1"/>
  <c r="H647" i="1"/>
  <c r="G650" i="1"/>
  <c r="G651" i="1"/>
  <c r="G652" i="1"/>
  <c r="H652" i="1"/>
  <c r="G653" i="1"/>
  <c r="H653" i="1"/>
  <c r="G654" i="1"/>
  <c r="H654" i="1"/>
  <c r="H655" i="1"/>
  <c r="J655" i="1" s="1"/>
  <c r="F192" i="1"/>
  <c r="L256" i="1"/>
  <c r="G164" i="2"/>
  <c r="C18" i="2"/>
  <c r="C26" i="10"/>
  <c r="L328" i="1"/>
  <c r="L351" i="1"/>
  <c r="A31" i="12"/>
  <c r="D62" i="2"/>
  <c r="D63" i="2" s="1"/>
  <c r="D18" i="13"/>
  <c r="C18" i="13" s="1"/>
  <c r="D7" i="13"/>
  <c r="C7" i="13" s="1"/>
  <c r="D17" i="13"/>
  <c r="C17" i="13" s="1"/>
  <c r="C91" i="2"/>
  <c r="F78" i="2"/>
  <c r="F81" i="2" s="1"/>
  <c r="D31" i="2"/>
  <c r="C78" i="2"/>
  <c r="D50" i="2"/>
  <c r="G157" i="2"/>
  <c r="F18" i="2"/>
  <c r="G161" i="2"/>
  <c r="G156" i="2"/>
  <c r="D91" i="2"/>
  <c r="G62" i="2"/>
  <c r="D19" i="13"/>
  <c r="C19" i="13" s="1"/>
  <c r="D14" i="13"/>
  <c r="C14" i="13" s="1"/>
  <c r="E13" i="13"/>
  <c r="C13" i="13" s="1"/>
  <c r="E78" i="2"/>
  <c r="E81" i="2" s="1"/>
  <c r="L427" i="1"/>
  <c r="J257" i="1"/>
  <c r="J271" i="1" s="1"/>
  <c r="J641" i="1"/>
  <c r="J571" i="1"/>
  <c r="K571" i="1"/>
  <c r="L433" i="1"/>
  <c r="L419" i="1"/>
  <c r="I169" i="1"/>
  <c r="J476" i="1"/>
  <c r="H626" i="1" s="1"/>
  <c r="J140" i="1"/>
  <c r="F571" i="1"/>
  <c r="I552" i="1"/>
  <c r="K550" i="1"/>
  <c r="G22" i="2"/>
  <c r="K545" i="1"/>
  <c r="J552" i="1"/>
  <c r="H552" i="1"/>
  <c r="H140" i="1"/>
  <c r="F22" i="13"/>
  <c r="H25" i="13"/>
  <c r="C25" i="13" s="1"/>
  <c r="H571" i="1"/>
  <c r="L560" i="1"/>
  <c r="J545" i="1"/>
  <c r="G192" i="1"/>
  <c r="C35" i="10"/>
  <c r="L309" i="1"/>
  <c r="E16" i="13"/>
  <c r="C16" i="13" s="1"/>
  <c r="L570" i="1"/>
  <c r="I571" i="1"/>
  <c r="G36" i="2"/>
  <c r="L565" i="1"/>
  <c r="K551" i="1"/>
  <c r="C22" i="13"/>
  <c r="H33" i="13"/>
  <c r="A13" i="12" l="1"/>
  <c r="H192" i="1"/>
  <c r="H476" i="1"/>
  <c r="H624" i="1" s="1"/>
  <c r="J645" i="1"/>
  <c r="J643" i="1"/>
  <c r="J644" i="1"/>
  <c r="L614" i="1"/>
  <c r="J651" i="1"/>
  <c r="K598" i="1"/>
  <c r="G647" i="1" s="1"/>
  <c r="J647" i="1" s="1"/>
  <c r="J649" i="1"/>
  <c r="K549" i="1"/>
  <c r="K552" i="1" s="1"/>
  <c r="H545" i="1"/>
  <c r="F552" i="1"/>
  <c r="L524" i="1"/>
  <c r="L545" i="1" s="1"/>
  <c r="G476" i="1"/>
  <c r="H623" i="1" s="1"/>
  <c r="J623" i="1" s="1"/>
  <c r="I476" i="1"/>
  <c r="H625" i="1" s="1"/>
  <c r="J625" i="1" s="1"/>
  <c r="J639" i="1"/>
  <c r="I446" i="1"/>
  <c r="G642" i="1" s="1"/>
  <c r="J642" i="1" s="1"/>
  <c r="C29" i="10"/>
  <c r="L382" i="1"/>
  <c r="G636" i="1" s="1"/>
  <c r="J636" i="1" s="1"/>
  <c r="I369" i="1"/>
  <c r="H634" i="1" s="1"/>
  <c r="J634" i="1"/>
  <c r="H661" i="1"/>
  <c r="D29" i="13"/>
  <c r="C29" i="13" s="1"/>
  <c r="D127" i="2"/>
  <c r="D128" i="2" s="1"/>
  <c r="D145" i="2" s="1"/>
  <c r="F661" i="1"/>
  <c r="L362" i="1"/>
  <c r="G635" i="1" s="1"/>
  <c r="J635" i="1" s="1"/>
  <c r="I662" i="1"/>
  <c r="E124" i="2"/>
  <c r="E128" i="2" s="1"/>
  <c r="C21" i="10"/>
  <c r="C17" i="10"/>
  <c r="C16" i="10"/>
  <c r="K338" i="1"/>
  <c r="K352" i="1" s="1"/>
  <c r="E115" i="2"/>
  <c r="J338" i="1"/>
  <c r="J352" i="1" s="1"/>
  <c r="L290" i="1"/>
  <c r="L338" i="1" s="1"/>
  <c r="L352" i="1" s="1"/>
  <c r="G633" i="1" s="1"/>
  <c r="J633" i="1" s="1"/>
  <c r="L247" i="1"/>
  <c r="H660" i="1" s="1"/>
  <c r="H257" i="1"/>
  <c r="H271" i="1" s="1"/>
  <c r="C11" i="10"/>
  <c r="C10" i="10"/>
  <c r="K271" i="1"/>
  <c r="D12" i="13"/>
  <c r="C12" i="13" s="1"/>
  <c r="C18" i="10"/>
  <c r="C124" i="2"/>
  <c r="D15" i="13"/>
  <c r="C15" i="13" s="1"/>
  <c r="D5" i="13"/>
  <c r="C5" i="13" s="1"/>
  <c r="C121" i="2"/>
  <c r="C119" i="2"/>
  <c r="C15" i="10"/>
  <c r="D6" i="13"/>
  <c r="C6" i="13" s="1"/>
  <c r="E8" i="13"/>
  <c r="C8" i="13" s="1"/>
  <c r="C120" i="2"/>
  <c r="C109" i="2"/>
  <c r="C115" i="2" s="1"/>
  <c r="L211" i="1"/>
  <c r="H112" i="1"/>
  <c r="C81" i="2"/>
  <c r="F112" i="1"/>
  <c r="C62" i="2"/>
  <c r="C63" i="2" s="1"/>
  <c r="E31" i="2"/>
  <c r="J624" i="1"/>
  <c r="H52" i="1"/>
  <c r="H619" i="1" s="1"/>
  <c r="J619" i="1" s="1"/>
  <c r="J622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C24" i="10"/>
  <c r="G660" i="1"/>
  <c r="G664" i="1" s="1"/>
  <c r="G672" i="1" s="1"/>
  <c r="C5" i="10" s="1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F33" i="13" s="1"/>
  <c r="J193" i="1"/>
  <c r="G646" i="1" s="1"/>
  <c r="F104" i="2"/>
  <c r="H193" i="1"/>
  <c r="G629" i="1" s="1"/>
  <c r="J629" i="1" s="1"/>
  <c r="G169" i="1"/>
  <c r="C39" i="10" s="1"/>
  <c r="G140" i="1"/>
  <c r="F140" i="1"/>
  <c r="G63" i="2"/>
  <c r="J618" i="1"/>
  <c r="G42" i="2"/>
  <c r="J51" i="1"/>
  <c r="G16" i="2"/>
  <c r="J19" i="1"/>
  <c r="G621" i="1" s="1"/>
  <c r="G18" i="2"/>
  <c r="F545" i="1"/>
  <c r="H434" i="1"/>
  <c r="J620" i="1"/>
  <c r="D103" i="2"/>
  <c r="D104" i="2" s="1"/>
  <c r="I140" i="1"/>
  <c r="A22" i="12"/>
  <c r="G50" i="2"/>
  <c r="G51" i="2" s="1"/>
  <c r="J652" i="1"/>
  <c r="G571" i="1"/>
  <c r="I434" i="1"/>
  <c r="G434" i="1"/>
  <c r="I663" i="1"/>
  <c r="C27" i="10"/>
  <c r="I193" i="1" l="1"/>
  <c r="G630" i="1" s="1"/>
  <c r="J630" i="1" s="1"/>
  <c r="G104" i="2"/>
  <c r="H646" i="1"/>
  <c r="I661" i="1"/>
  <c r="H664" i="1"/>
  <c r="H672" i="1" s="1"/>
  <c r="C6" i="10" s="1"/>
  <c r="E145" i="2"/>
  <c r="H648" i="1"/>
  <c r="J648" i="1" s="1"/>
  <c r="D31" i="13"/>
  <c r="C31" i="13" s="1"/>
  <c r="F660" i="1"/>
  <c r="I660" i="1" s="1"/>
  <c r="G667" i="1"/>
  <c r="C28" i="10"/>
  <c r="D24" i="10" s="1"/>
  <c r="C128" i="2"/>
  <c r="C145" i="2" s="1"/>
  <c r="E33" i="13"/>
  <c r="D35" i="13" s="1"/>
  <c r="L257" i="1"/>
  <c r="L271" i="1" s="1"/>
  <c r="G632" i="1" s="1"/>
  <c r="J632" i="1" s="1"/>
  <c r="C36" i="10"/>
  <c r="C104" i="2"/>
  <c r="F193" i="1"/>
  <c r="G627" i="1" s="1"/>
  <c r="J627" i="1" s="1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I664" i="1" l="1"/>
  <c r="I672" i="1" s="1"/>
  <c r="C7" i="10" s="1"/>
  <c r="F664" i="1"/>
  <c r="F672" i="1" s="1"/>
  <c r="C4" i="10" s="1"/>
  <c r="H667" i="1"/>
  <c r="D33" i="13"/>
  <c r="D36" i="13" s="1"/>
  <c r="D16" i="10"/>
  <c r="D20" i="10"/>
  <c r="D11" i="10"/>
  <c r="D13" i="10"/>
  <c r="C30" i="10"/>
  <c r="D26" i="10"/>
  <c r="D25" i="10"/>
  <c r="D22" i="10"/>
  <c r="D10" i="10"/>
  <c r="D15" i="10"/>
  <c r="D21" i="10"/>
  <c r="D23" i="10"/>
  <c r="D19" i="10"/>
  <c r="D27" i="10"/>
  <c r="D18" i="10"/>
  <c r="D17" i="10"/>
  <c r="D12" i="10"/>
  <c r="H656" i="1"/>
  <c r="C41" i="10"/>
  <c r="D38" i="10" s="1"/>
  <c r="F667" i="1" l="1"/>
  <c r="I667" i="1"/>
  <c r="D28" i="10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<sst xmlns="http://schemas.openxmlformats.org/spreadsheetml/2006/main" count="3954" uniqueCount="912">
  <si>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</si>
  <si>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</si>
  <si>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</si>
  <si>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</si>
  <si>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</si>
  <si>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</si>
  <si>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</si>
  <si>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</si>
  <si>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</si>
  <si>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</si>
  <si>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</si>
  <si>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</si>
  <si>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</si>
  <si>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</si>
  <si>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</si>
  <si>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</si>
  <si>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</si>
  <si>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</si>
  <si>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</si>
  <si>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</si>
  <si>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</si>
  <si>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</si>
  <si>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</si>
  <si>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</si>
  <si>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</si>
  <si>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</si>
  <si>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</si>
  <si>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</si>
  <si>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</si>
  <si>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</si>
  <si>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</si>
  <si>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</si>
  <si>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</si>
  <si>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</si>
  <si>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</si>
  <si>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</si>
  <si>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</si>
  <si>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</si>
  <si>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</si>
  <si>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</si>
  <si>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</si>
  <si>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</si>
  <si>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</si>
  <si>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</si>
  <si>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</si>
  <si>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</si>
  <si>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</si>
  <si>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</si>
  <si>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</si>
  <si>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</si>
  <si>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</si>
  <si>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</si>
  <si>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</si>
  <si>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</si>
  <si>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</si>
  <si>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</si>
  <si>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</si>
  <si>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</si>
  <si>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</si>
  <si>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</si>
  <si>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</si>
  <si>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</si>
  <si>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</si>
  <si>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</si>
  <si>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</si>
  <si>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</si>
  <si>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</si>
  <si>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</si>
  <si>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</si>
  <si>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</si>
  <si>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</si>
  <si>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</si>
  <si>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</si>
  <si>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</si>
  <si>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</si>
  <si>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</si>
  <si>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</si>
  <si>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</si>
  <si>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</si>
  <si>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</si>
  <si>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</si>
  <si>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</si>
  <si>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</si>
  <si>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</si>
  <si>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</si>
  <si>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</si>
  <si>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</si>
  <si>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</si>
  <si>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</si>
  <si>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</si>
  <si>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</si>
  <si>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</si>
  <si>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</si>
  <si>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</si>
  <si>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</si>
  <si>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</si>
  <si>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</si>
  <si>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</si>
  <si>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</si>
  <si>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</si>
  <si>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</si>
  <si>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</si>
  <si>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</si>
  <si>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</si>
  <si>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</si>
  <si>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</si>
  <si>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</si>
  <si>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</si>
  <si>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</si>
  <si>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</si>
  <si>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</si>
  <si>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</si>
  <si>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</si>
  <si>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</si>
  <si>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</si>
  <si>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</si>
  <si>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</si>
  <si>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</si>
  <si>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</si>
  <si>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</si>
  <si>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</si>
  <si>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</si>
  <si>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</si>
  <si>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</si>
  <si>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</si>
  <si>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</si>
  <si>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</si>
  <si>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</si>
  <si>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</si>
  <si>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</si>
  <si>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</si>
  <si>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</si>
  <si>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</si>
  <si>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</si>
  <si>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</si>
  <si>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</si>
  <si>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</si>
  <si>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</si>
  <si>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</si>
  <si>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</si>
  <si>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</si>
  <si>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</si>
  <si>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</si>
  <si>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</si>
  <si>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</si>
  <si>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</si>
  <si>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</si>
  <si>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</si>
  <si>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</si>
  <si>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</si>
  <si>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</si>
  <si>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</si>
  <si>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</si>
  <si>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</si>
  <si>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</si>
  <si>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</si>
  <si>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</si>
  <si>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</si>
  <si>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</si>
  <si>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</si>
  <si>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</si>
  <si>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</si>
  <si>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</si>
  <si>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</si>
  <si>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</si>
  <si>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</si>
  <si>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</si>
  <si>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</si>
  <si>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</si>
  <si>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</si>
  <si>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</si>
  <si>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</si>
  <si>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</si>
  <si>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</si>
  <si>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</si>
  <si>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</si>
  <si>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</si>
  <si>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</si>
  <si>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</si>
  <si>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</si>
  <si>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</si>
  <si>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</si>
  <si>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</si>
  <si>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</si>
  <si>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</si>
  <si>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</si>
  <si>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</si>
  <si>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</si>
  <si>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</si>
  <si>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</si>
  <si>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</si>
  <si>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</si>
  <si>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</si>
  <si>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</si>
  <si>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</si>
  <si>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</si>
  <si>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</si>
  <si>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</si>
  <si>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</si>
  <si>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</si>
  <si>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</si>
  <si>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</si>
  <si>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</si>
  <si>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</si>
  <si>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</si>
  <si>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</si>
  <si>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</si>
  <si>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</si>
  <si>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</si>
  <si>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</si>
  <si>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</si>
  <si>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</si>
  <si>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</si>
  <si>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</si>
  <si>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</si>
  <si>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</si>
  <si>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</si>
  <si>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</si>
  <si>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</si>
  <si>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</si>
  <si>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</si>
  <si>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</si>
  <si>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</si>
  <si>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</si>
  <si>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</si>
  <si>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</si>
  <si>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</si>
  <si>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</si>
  <si>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</si>
  <si>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</si>
  <si>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</si>
  <si>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</si>
  <si>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</si>
  <si>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</si>
  <si>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</si>
  <si>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</si>
  <si>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</si>
  <si>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</si>
  <si>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</si>
  <si>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</si>
  <si>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</si>
  <si>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</si>
  <si>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</si>
  <si>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</si>
  <si>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</si>
  <si>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</si>
  <si>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</si>
  <si>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</si>
  <si>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</si>
  <si>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</si>
  <si>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</si>
  <si>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</si>
  <si>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</si>
  <si>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</si>
  <si>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</si>
  <si>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</si>
  <si>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</si>
  <si>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</si>
  <si>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</si>
  <si>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</si>
  <si>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</si>
  <si>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</si>
  <si>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</si>
  <si>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</si>
  <si>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</si>
  <si>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</si>
  <si>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</si>
  <si>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</si>
  <si>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</si>
  <si>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</si>
  <si>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</si>
  <si>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</si>
  <si>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</si>
  <si>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</si>
  <si>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</si>
  <si>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</si>
  <si>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</si>
  <si>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</si>
  <si>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</si>
  <si>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</si>
  <si>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</si>
  <si>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</si>
  <si>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</si>
  <si>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</si>
  <si>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</si>
  <si>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</si>
  <si>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</si>
  <si>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</si>
  <si>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</si>
  <si>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</si>
  <si>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</si>
  <si>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</si>
  <si>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</si>
  <si>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</si>
  <si>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</si>
  <si>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</si>
  <si>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</si>
  <si>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</si>
  <si>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</si>
  <si>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</si>
  <si>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</si>
  <si>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</si>
  <si>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</si>
  <si>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</si>
  <si>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</si>
  <si>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</si>
  <si>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</si>
  <si>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</si>
  <si>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</si>
  <si>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</si>
  <si>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</si>
  <si>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</si>
  <si>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</si>
  <si>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</si>
  <si>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</si>
  <si>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</si>
  <si>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</si>
  <si>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</si>
  <si>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</si>
  <si>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</si>
  <si>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</si>
  <si>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</si>
  <si>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</si>
  <si>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</si>
  <si>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</si>
  <si>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</si>
  <si>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</si>
  <si>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</si>
  <si>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</si>
  <si>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</si>
  <si>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</si>
  <si>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</si>
  <si>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</si>
  <si>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</si>
  <si>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</si>
  <si>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</si>
  <si>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</si>
  <si>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</si>
  <si>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</si>
  <si>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</si>
  <si>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</si>
  <si>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</si>
  <si>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</si>
  <si>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</si>
  <si>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</si>
  <si>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</si>
  <si>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</si>
  <si>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</si>
  <si>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</si>
  <si>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</si>
  <si>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</si>
  <si>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</si>
  <si>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</si>
  <si>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</si>
  <si>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</si>
  <si>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</si>
  <si>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</si>
  <si>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</si>
  <si>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</si>
  <si>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</si>
  <si>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</si>
  <si>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</si>
  <si>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</si>
  <si>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</si>
  <si>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</si>
  <si>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</si>
  <si>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</si>
  <si>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</si>
  <si>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</si>
  <si>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</si>
  <si>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</si>
  <si>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</si>
  <si>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</si>
  <si>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</si>
  <si>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</si>
  <si>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</si>
  <si>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</si>
  <si>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</si>
  <si>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</si>
  <si>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</si>
  <si>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</si>
  <si>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</si>
  <si>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</si>
  <si>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</si>
  <si>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</si>
  <si>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</si>
  <si>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</si>
  <si>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</si>
  <si>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</si>
  <si>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</si>
  <si>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</si>
  <si>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</si>
  <si>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</si>
  <si>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</si>
  <si>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</si>
  <si>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</si>
  <si>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</si>
  <si>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</si>
  <si>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</si>
  <si>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</si>
  <si>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</si>
  <si>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</si>
  <si>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</si>
  <si>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</si>
  <si>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</si>
  <si>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</si>
  <si>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</si>
  <si>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</si>
  <si>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</si>
  <si>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</si>
  <si>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</si>
  <si>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</si>
  <si>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</si>
  <si>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</si>
  <si>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</si>
  <si>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</si>
  <si>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</si>
  <si>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</si>
  <si>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</si>
  <si>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</si>
  <si>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</si>
  <si>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</si>
  <si>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</si>
  <si>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</si>
  <si>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</si>
  <si>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</si>
  <si>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</si>
  <si>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</si>
  <si>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</si>
  <si>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</si>
  <si>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</si>
  <si>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</si>
  <si>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</si>
  <si>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</si>
  <si>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</si>
  <si>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</si>
  <si>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</si>
  <si>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</si>
  <si>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</si>
  <si>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</si>
  <si>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</si>
  <si>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</si>
  <si>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</si>
  <si>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</si>
  <si>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</si>
  <si>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</si>
  <si>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</si>
  <si>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</si>
  <si>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</si>
  <si>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</si>
  <si>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</si>
  <si>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</si>
  <si>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</si>
  <si>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</si>
  <si>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</si>
  <si>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</si>
  <si>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</si>
  <si>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</si>
  <si>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</si>
  <si>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</si>
  <si>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</si>
  <si>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</si>
  <si>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</si>
  <si>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</si>
  <si>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</si>
  <si>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</si>
  <si>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</si>
  <si>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</si>
  <si>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</si>
  <si>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</si>
  <si>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</si>
  <si>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</si>
  <si>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</si>
  <si>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</si>
  <si>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</si>
  <si>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</si>
  <si>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</si>
  <si>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</si>
  <si>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</si>
  <si>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</si>
  <si>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</si>
  <si>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</si>
  <si>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</si>
  <si>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</si>
  <si>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</si>
  <si>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</si>
  <si>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</si>
  <si>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</si>
  <si>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</si>
  <si>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</si>
  <si>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</si>
  <si>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</si>
  <si>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</si>
  <si>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</si>
  <si>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</si>
  <si>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</si>
  <si>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</si>
  <si>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</si>
  <si>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</si>
  <si>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</si>
  <si>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</si>
  <si>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</si>
  <si>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</si>
  <si>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</si>
  <si>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</si>
  <si>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</si>
  <si>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</si>
  <si>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</si>
  <si>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</si>
  <si>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</si>
  <si>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</si>
  <si>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</si>
  <si>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</si>
  <si>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</si>
  <si>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</si>
  <si>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</si>
  <si>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</si>
  <si>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</si>
  <si>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</si>
  <si>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</si>
  <si>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</si>
  <si>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</si>
  <si>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</si>
  <si>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</si>
  <si>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</si>
  <si>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</si>
  <si>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</si>
  <si>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</si>
  <si>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</si>
  <si>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</si>
  <si>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</si>
  <si>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</si>
  <si>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</si>
  <si>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</si>
  <si>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</si>
  <si>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</si>
  <si>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</si>
  <si>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</si>
  <si>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</si>
  <si>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</si>
  <si>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</si>
  <si>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</si>
  <si>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</si>
  <si>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</si>
  <si>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</si>
  <si>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</si>
  <si>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</si>
  <si>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</si>
  <si>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</si>
  <si>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</si>
  <si>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</si>
  <si>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</si>
  <si>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</si>
  <si>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</si>
  <si>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</si>
  <si>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</si>
  <si>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</si>
  <si>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</si>
  <si>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</si>
  <si>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</si>
  <si>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</si>
  <si>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</si>
  <si>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</si>
  <si>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</si>
  <si>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</si>
  <si>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</si>
  <si>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</si>
  <si>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</si>
  <si>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</si>
  <si>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</si>
  <si>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</si>
  <si>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</si>
  <si>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</si>
  <si>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</si>
  <si>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</si>
  <si>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</si>
  <si>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</si>
  <si>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</si>
  <si>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</si>
  <si>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</si>
  <si>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</si>
  <si>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</si>
  <si>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</si>
  <si>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</si>
  <si>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</si>
  <si>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</si>
  <si>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</si>
  <si>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</si>
  <si>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</si>
  <si>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</si>
  <si>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</si>
  <si>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</si>
  <si>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</si>
  <si>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</si>
  <si>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</si>
  <si>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</si>
  <si>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</si>
  <si>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</si>
  <si>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</si>
  <si>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</si>
  <si>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</si>
  <si>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</si>
  <si>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</si>
  <si>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</si>
  <si>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</si>
  <si>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</si>
  <si>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</si>
  <si>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</si>
  <si>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</si>
  <si>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</si>
  <si>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</si>
  <si>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</si>
  <si>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</si>
  <si>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</si>
  <si>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</si>
  <si>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</si>
  <si>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</si>
  <si>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</si>
  <si>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</si>
  <si>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</si>
  <si>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</si>
  <si>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</si>
  <si>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</si>
  <si>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</si>
  <si>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</si>
  <si>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</si>
  <si>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</si>
  <si>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</si>
  <si>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</si>
  <si>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</si>
  <si>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</si>
  <si>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</si>
  <si>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</si>
  <si>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</si>
  <si>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</si>
  <si>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</si>
  <si>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</si>
  <si>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</si>
  <si>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</si>
  <si>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</si>
  <si>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</si>
  <si>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</si>
  <si>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</si>
  <si>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</si>
  <si>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</si>
  <si>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</si>
  <si>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</si>
  <si>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</si>
  <si>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</si>
  <si>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</si>
  <si>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</si>
  <si>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</si>
  <si>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</si>
  <si>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</si>
  <si>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</si>
  <si>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</si>
  <si>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</si>
  <si>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</si>
  <si>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</si>
  <si>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</si>
  <si>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</si>
  <si>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</si>
  <si>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</si>
  <si>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</si>
  <si>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</si>
  <si>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</si>
  <si>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</si>
  <si>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</si>
  <si>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</si>
  <si>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</si>
  <si>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</si>
  <si>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</si>
  <si>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</si>
  <si>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</si>
  <si>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</si>
  <si>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</si>
  <si>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</si>
  <si>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</si>
  <si>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</si>
  <si>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</si>
  <si>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</si>
  <si>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</si>
  <si>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</si>
  <si>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</si>
  <si>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</si>
  <si>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</si>
  <si>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</si>
  <si>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</si>
  <si>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</si>
  <si>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</si>
  <si>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</si>
  <si>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</si>
  <si>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</si>
  <si>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</si>
  <si>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</si>
  <si>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</si>
  <si>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</si>
  <si>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</si>
  <si>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</si>
  <si>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</si>
  <si>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</si>
  <si>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</si>
  <si>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</si>
  <si>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</si>
  <si>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</si>
  <si>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</si>
  <si>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</si>
  <si>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</si>
  <si>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</si>
  <si>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</si>
  <si>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</si>
  <si>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</si>
  <si>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</si>
  <si>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</si>
  <si>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</si>
  <si>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</si>
  <si>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</si>
  <si>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</si>
  <si>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</si>
  <si>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</si>
  <si>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</si>
  <si>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</si>
  <si>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</si>
  <si>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</si>
  <si>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</si>
  <si>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</si>
  <si>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</si>
  <si>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</si>
  <si>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</si>
  <si>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</si>
  <si>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</si>
  <si>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</si>
  <si>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</si>
  <si>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</si>
  <si>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</si>
  <si>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</si>
  <si>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</si>
  <si>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</si>
  <si>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</si>
  <si>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</si>
  <si>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</si>
  <si>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</si>
  <si>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</si>
  <si>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</si>
  <si>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</si>
  <si>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</si>
  <si>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</si>
  <si>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</si>
  <si>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</si>
  <si>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</si>
  <si>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</si>
  <si>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</si>
  <si>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</si>
  <si>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</si>
  <si>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</si>
  <si>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</si>
  <si>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</si>
  <si>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</si>
  <si>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</si>
  <si>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</si>
  <si>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</si>
  <si>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</si>
  <si>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</si>
  <si>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</si>
  <si>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</si>
  <si>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</si>
  <si>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</si>
  <si>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</si>
  <si>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</si>
  <si>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</si>
  <si>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</si>
  <si>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</si>
  <si>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</si>
  <si>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</si>
  <si>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</si>
  <si>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</si>
  <si>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</si>
  <si>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</si>
  <si>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</si>
  <si>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</si>
  <si>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</si>
  <si>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</si>
  <si>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</si>
  <si>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</si>
  <si>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</si>
  <si>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</si>
  <si>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</si>
  <si>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</si>
  <si>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</si>
  <si>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</si>
  <si>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</si>
  <si>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</si>
  <si>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</si>
  <si>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</si>
  <si>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</si>
  <si>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</si>
  <si>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</si>
  <si>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</si>
  <si>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</si>
  <si>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</si>
  <si>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</si>
  <si>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</si>
  <si>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</si>
  <si>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</si>
  <si>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</si>
  <si>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</si>
  <si>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</si>
  <si>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</si>
  <si>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</si>
  <si>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</si>
  <si>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</si>
  <si>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</si>
  <si>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</si>
  <si>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</si>
  <si>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</si>
  <si>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</si>
  <si>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</si>
  <si>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</si>
  <si>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</si>
  <si>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</si>
  <si>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</si>
  <si>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</si>
  <si>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</si>
  <si>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</si>
  <si>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</si>
  <si>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</si>
  <si>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</si>
  <si>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</si>
  <si>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</si>
  <si>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</si>
  <si>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</si>
  <si>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</si>
  <si>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</si>
  <si>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</si>
  <si>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</si>
  <si>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</si>
  <si>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</si>
  <si>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</si>
  <si>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</si>
  <si>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</si>
  <si>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</si>
  <si>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</si>
  <si>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</si>
  <si>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</si>
  <si>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</si>
  <si>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</si>
  <si>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</si>
  <si>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</si>
  <si>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</si>
  <si>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</si>
  <si>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</si>
  <si>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</si>
  <si>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</si>
  <si>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</si>
  <si>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</si>
  <si>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</si>
  <si>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</si>
  <si>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</si>
  <si>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</si>
  <si>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</si>
  <si>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</si>
  <si>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</si>
  <si>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</si>
  <si>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</si>
  <si>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</si>
  <si>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</si>
  <si>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</si>
  <si>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</si>
  <si>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</si>
  <si>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</si>
  <si>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</si>
  <si>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</si>
  <si>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</si>
  <si>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</si>
  <si>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</si>
  <si>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</si>
  <si>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</si>
  <si>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</si>
  <si>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</si>
  <si>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</si>
  <si>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</si>
  <si>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</si>
  <si>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</si>
  <si>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</si>
  <si>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</si>
  <si>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</si>
  <si>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</si>
  <si>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</si>
  <si>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</si>
  <si>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</si>
  <si>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</si>
  <si>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</si>
  <si>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</si>
  <si>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</si>
  <si>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</si>
  <si>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</si>
  <si>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</si>
  <si>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</si>
  <si>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</si>
  <si>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</si>
  <si>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</si>
  <si>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</si>
  <si>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DOE 25  2014-2015</t>
  </si>
  <si>
    <t xml:space="preserve">Total Fund Equity June 30, 2015**** </t>
  </si>
  <si>
    <t>TOTAL FUND EQUITY, JULY 1, 2014</t>
  </si>
  <si>
    <t>For the Fiscal Year Ending on June 30, 2015</t>
  </si>
  <si>
    <t>For Fiscal Year Ending June 30, 2015</t>
  </si>
  <si>
    <t>Indirect Cost Rate to be determine at later date for FY2016-2017</t>
  </si>
  <si>
    <t>2014-2015 Current Expenditure Per Pupil(in dollars)</t>
  </si>
  <si>
    <t>2014-15-Current Expenditure Per Pupil</t>
  </si>
  <si>
    <t>2014-15-Total Revenues</t>
  </si>
  <si>
    <t>HARRISVILLE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</si>
</sst>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508" activePane="bottomRight" state="frozen"/>
      <selection pane="topRight" activeCell="F1" sqref="F1"/>
      <selection pane="bottomLeft" activeCell="A4" sqref="A4"/>
      <selection pane="bottomRight" activeCell="H531" sqref="H53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235</v>
      </c>
      <c r="C2" s="21">
        <v>235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78121.73-20767.72+7500</f>
        <v>64854.009999999995</v>
      </c>
      <c r="G9" s="18"/>
      <c r="H9" s="18">
        <f>480.78+80021.41+500</f>
        <v>81002.19</v>
      </c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>
        <v>37673.53</v>
      </c>
      <c r="G10" s="18"/>
      <c r="H10" s="18"/>
      <c r="I10" s="18"/>
      <c r="J10" s="67">
        <f>SUM(I440)</f>
        <v>265625.98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f>254.32+43013.41</f>
        <v>43267.73</v>
      </c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22171.360000000001</v>
      </c>
      <c r="G13" s="18">
        <v>981.42</v>
      </c>
      <c r="H13" s="18">
        <f>49823.04+2100</f>
        <v>51923.040000000001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>
        <v>50.9</v>
      </c>
      <c r="H14" s="18">
        <v>2909.83</v>
      </c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>
        <v>2620</v>
      </c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167966.63</v>
      </c>
      <c r="G19" s="41">
        <f>SUM(G9:G18)</f>
        <v>1032.32</v>
      </c>
      <c r="H19" s="41">
        <f>SUM(H9:H18)</f>
        <v>138455.06</v>
      </c>
      <c r="I19" s="41">
        <f>SUM(I9:I18)</f>
        <v>0</v>
      </c>
      <c r="J19" s="41">
        <f>SUM(J9:J18)</f>
        <v>265625.98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v>254.32</v>
      </c>
      <c r="H22" s="18">
        <f>43013.41</f>
        <v>43013.41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668.6</v>
      </c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10907.9</v>
      </c>
      <c r="G24" s="18"/>
      <c r="H24" s="18">
        <f>1500+120.52</f>
        <v>1620.52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7065.02</v>
      </c>
      <c r="G28" s="18">
        <v>606</v>
      </c>
      <c r="H28" s="18">
        <f>5309.63+980.71</f>
        <v>6290.34</v>
      </c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>
        <v>172</v>
      </c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>
        <v>120000</v>
      </c>
      <c r="G30" s="18"/>
      <c r="H30" s="18">
        <v>9814.75</v>
      </c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138641.51999999999</v>
      </c>
      <c r="G32" s="41">
        <f>SUM(G22:G31)</f>
        <v>1032.32</v>
      </c>
      <c r="H32" s="41">
        <f>SUM(H22:H31)</f>
        <v>60739.020000000004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>
        <v>2620</v>
      </c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>
        <v>480.78</v>
      </c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f>20000</f>
        <v>20000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>
        <v>74615.259999999995</v>
      </c>
      <c r="I48" s="18"/>
      <c r="J48" s="13">
        <f>SUM(I459)</f>
        <v>265625.98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v>2006.34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f>7500-181.23</f>
        <v>7318.77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29325.11</v>
      </c>
      <c r="G51" s="41">
        <f>SUM(G35:G50)</f>
        <v>0</v>
      </c>
      <c r="H51" s="41">
        <f>SUM(H35:H50)</f>
        <v>77716.039999999994</v>
      </c>
      <c r="I51" s="41">
        <f>SUM(I35:I50)</f>
        <v>0</v>
      </c>
      <c r="J51" s="41">
        <f>SUM(J35:J50)</f>
        <v>265625.98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167966.63</v>
      </c>
      <c r="G52" s="41">
        <f>G51+G32</f>
        <v>1032.32</v>
      </c>
      <c r="H52" s="41">
        <f>H51+H32</f>
        <v>138455.06</v>
      </c>
      <c r="I52" s="41">
        <f>I51+I32</f>
        <v>0</v>
      </c>
      <c r="J52" s="41">
        <f>J51+J32</f>
        <v>265625.98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1115495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1115495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>
        <f>21551.59+36291.84</f>
        <v>57843.429999999993</v>
      </c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>
        <v>12161.96</v>
      </c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>
        <v>46935.38</v>
      </c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46935.38</v>
      </c>
      <c r="G79" s="45" t="s">
        <v>289</v>
      </c>
      <c r="H79" s="41">
        <f>SUM(H63:H78)</f>
        <v>70005.389999999985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79.540000000000006</v>
      </c>
      <c r="G96" s="18"/>
      <c r="H96" s="18"/>
      <c r="I96" s="18"/>
      <c r="J96" s="18">
        <f>15.47+12.98</f>
        <v>28.450000000000003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f>6166.1+1598.35+1070.45+875.75+150</f>
        <v>9860.6500000000015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>
        <v>105</v>
      </c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>
        <v>73380.52</v>
      </c>
      <c r="G105" s="18"/>
      <c r="H105" s="18">
        <v>2100</v>
      </c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>
        <v>13941.16</v>
      </c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f>2108.12+3659.39</f>
        <v>5767.51</v>
      </c>
      <c r="G110" s="18"/>
      <c r="H110" s="18">
        <v>1385.01</v>
      </c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93273.73</v>
      </c>
      <c r="G111" s="41">
        <f>SUM(G96:G110)</f>
        <v>9860.6500000000015</v>
      </c>
      <c r="H111" s="41">
        <f>SUM(H96:H110)</f>
        <v>3485.01</v>
      </c>
      <c r="I111" s="41">
        <f>SUM(I96:I110)</f>
        <v>0</v>
      </c>
      <c r="J111" s="41">
        <f>SUM(J96:J110)</f>
        <v>28.450000000000003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1255704.1099999999</v>
      </c>
      <c r="G112" s="41">
        <f>G60+G111</f>
        <v>9860.6500000000015</v>
      </c>
      <c r="H112" s="41">
        <f>H60+H79+H94+H111</f>
        <v>73490.39999999998</v>
      </c>
      <c r="I112" s="41">
        <f>I60+I111</f>
        <v>0</v>
      </c>
      <c r="J112" s="41">
        <f>J60+J111</f>
        <v>28.450000000000003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13345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482733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496078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237.92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0</v>
      </c>
      <c r="G136" s="41">
        <f>SUM(G123:G135)</f>
        <v>237.92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496078</v>
      </c>
      <c r="G140" s="41">
        <f>G121+SUM(G136:G137)</f>
        <v>237.92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>
        <f>1.21+5975.84</f>
        <v>5977.05</v>
      </c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f>6960.95</f>
        <v>6960.95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f>5023.33+7834.6+198444.71</f>
        <v>211302.63999999998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10043.620000000001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f>542.72+10244.82</f>
        <v>10787.539999999999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13226.63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13226.63</v>
      </c>
      <c r="G162" s="41">
        <f>SUM(G150:G161)</f>
        <v>10043.620000000001</v>
      </c>
      <c r="H162" s="41">
        <f>SUM(H150:H161)</f>
        <v>235028.18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13226.63</v>
      </c>
      <c r="G169" s="41">
        <f>G147+G162+SUM(G163:G168)</f>
        <v>10043.620000000001</v>
      </c>
      <c r="H169" s="41">
        <f>H147+H162+SUM(H163:H168)</f>
        <v>235028.18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14628.59</v>
      </c>
      <c r="H179" s="18">
        <f>20077</f>
        <v>20077</v>
      </c>
      <c r="I179" s="18">
        <v>2958.58</v>
      </c>
      <c r="J179" s="18">
        <v>75000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14628.59</v>
      </c>
      <c r="H183" s="41">
        <f>SUM(H179:H182)</f>
        <v>20077</v>
      </c>
      <c r="I183" s="41">
        <f>SUM(I179:I182)</f>
        <v>2958.58</v>
      </c>
      <c r="J183" s="41">
        <f>SUM(J179:J182)</f>
        <v>75000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>
        <v>60000</v>
      </c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60000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14628.59</v>
      </c>
      <c r="H192" s="41">
        <f>+H183+SUM(H188:H191)</f>
        <v>20077</v>
      </c>
      <c r="I192" s="41">
        <f>I177+I183+SUM(I188:I191)</f>
        <v>62958.58</v>
      </c>
      <c r="J192" s="41">
        <f>J183</f>
        <v>75000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1765008.7399999998</v>
      </c>
      <c r="G193" s="47">
        <f>G112+G140+G169+G192</f>
        <v>34770.78</v>
      </c>
      <c r="H193" s="47">
        <f>H112+H140+H169+H192</f>
        <v>328595.57999999996</v>
      </c>
      <c r="I193" s="47">
        <f>I112+I140+I169+I192</f>
        <v>62958.58</v>
      </c>
      <c r="J193" s="47">
        <f>J112+J140+J192</f>
        <v>75028.45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324693.52</v>
      </c>
      <c r="G197" s="18">
        <v>102847.72</v>
      </c>
      <c r="H197" s="18">
        <v>11609.42</v>
      </c>
      <c r="I197" s="18">
        <v>9285.39</v>
      </c>
      <c r="J197" s="18">
        <v>8684.82</v>
      </c>
      <c r="K197" s="18">
        <v>129.03</v>
      </c>
      <c r="L197" s="19">
        <f>SUM(F197:K197)</f>
        <v>457249.9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78659.72</v>
      </c>
      <c r="G198" s="18">
        <v>31725.5</v>
      </c>
      <c r="H198" s="18">
        <v>7685.5</v>
      </c>
      <c r="I198" s="18">
        <v>99.26</v>
      </c>
      <c r="J198" s="18"/>
      <c r="K198" s="18"/>
      <c r="L198" s="19">
        <f>SUM(F198:K198)</f>
        <v>118169.98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f>940+140</f>
        <v>1080</v>
      </c>
      <c r="G200" s="18">
        <f>189.68+11.22</f>
        <v>200.9</v>
      </c>
      <c r="H200" s="18"/>
      <c r="I200" s="18">
        <v>93.73</v>
      </c>
      <c r="J200" s="18"/>
      <c r="K200" s="18">
        <v>258.89999999999998</v>
      </c>
      <c r="L200" s="19">
        <f>SUM(F200:K200)</f>
        <v>1633.5300000000002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f>34827.52+44351.24+4732.96</f>
        <v>83911.72</v>
      </c>
      <c r="G202" s="18">
        <f>2848.82+16532.77+387.2</f>
        <v>19768.79</v>
      </c>
      <c r="H202" s="18">
        <f>1037.5+6844.05+5509.25+15442.88+23590+6366.75</f>
        <v>58790.43</v>
      </c>
      <c r="I202" s="18">
        <f>389.41+282.05+310.94</f>
        <v>982.40000000000009</v>
      </c>
      <c r="J202" s="18">
        <v>1139.25</v>
      </c>
      <c r="K202" s="18"/>
      <c r="L202" s="19">
        <f t="shared" ref="L202:L208" si="0">SUM(F202:K202)</f>
        <v>164592.59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f>2727.8+11609.26</f>
        <v>14337.060000000001</v>
      </c>
      <c r="G203" s="18">
        <f>395.44+949.52</f>
        <v>1344.96</v>
      </c>
      <c r="H203" s="18">
        <v>1823</v>
      </c>
      <c r="I203" s="18">
        <f>89.94+2592.91</f>
        <v>2682.85</v>
      </c>
      <c r="J203" s="18"/>
      <c r="K203" s="18">
        <v>499</v>
      </c>
      <c r="L203" s="19">
        <f t="shared" si="0"/>
        <v>20686.87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f>2351.25+2000</f>
        <v>4351.25</v>
      </c>
      <c r="G204" s="18">
        <f>189.17+163.6</f>
        <v>352.77</v>
      </c>
      <c r="H204" s="18">
        <f>1846.85+250+5900+1100+250+122522</f>
        <v>131868.85</v>
      </c>
      <c r="I204" s="18">
        <v>1142.52</v>
      </c>
      <c r="J204" s="18">
        <v>228</v>
      </c>
      <c r="K204" s="18">
        <v>2561.5</v>
      </c>
      <c r="L204" s="19">
        <f t="shared" si="0"/>
        <v>140504.88999999998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94246.97</v>
      </c>
      <c r="G205" s="18">
        <v>47477.77</v>
      </c>
      <c r="H205" s="18">
        <v>8386.84</v>
      </c>
      <c r="I205" s="18">
        <f>937.26+157.05</f>
        <v>1094.31</v>
      </c>
      <c r="J205" s="18"/>
      <c r="K205" s="18">
        <v>104</v>
      </c>
      <c r="L205" s="19">
        <f t="shared" si="0"/>
        <v>151309.88999999998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34173</v>
      </c>
      <c r="G207" s="18">
        <v>23512.06</v>
      </c>
      <c r="H207" s="18">
        <v>40693.019999999997</v>
      </c>
      <c r="I207" s="18">
        <v>38593.910000000003</v>
      </c>
      <c r="J207" s="18">
        <v>9699.9500000000007</v>
      </c>
      <c r="K207" s="18"/>
      <c r="L207" s="19">
        <f t="shared" si="0"/>
        <v>146671.94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f>49848.5+158.65+16491.4</f>
        <v>66498.55</v>
      </c>
      <c r="I208" s="18"/>
      <c r="J208" s="18"/>
      <c r="K208" s="18"/>
      <c r="L208" s="19">
        <f t="shared" si="0"/>
        <v>66498.55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>
        <v>758.75</v>
      </c>
      <c r="I209" s="18"/>
      <c r="J209" s="18"/>
      <c r="K209" s="18"/>
      <c r="L209" s="19">
        <f>SUM(F209:K209)</f>
        <v>758.75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635453.24</v>
      </c>
      <c r="G211" s="41">
        <f t="shared" si="1"/>
        <v>227230.46999999997</v>
      </c>
      <c r="H211" s="41">
        <f t="shared" si="1"/>
        <v>328114.36</v>
      </c>
      <c r="I211" s="41">
        <f t="shared" si="1"/>
        <v>53974.37</v>
      </c>
      <c r="J211" s="41">
        <f t="shared" si="1"/>
        <v>19752.02</v>
      </c>
      <c r="K211" s="41">
        <f t="shared" si="1"/>
        <v>3552.43</v>
      </c>
      <c r="L211" s="41">
        <f t="shared" si="1"/>
        <v>1268076.8899999999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>
        <v>70157.210000000006</v>
      </c>
      <c r="I215" s="18"/>
      <c r="J215" s="18"/>
      <c r="K215" s="18"/>
      <c r="L215" s="19">
        <f>SUM(F215:K215)</f>
        <v>70157.210000000006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>
        <v>26119</v>
      </c>
      <c r="I216" s="18"/>
      <c r="J216" s="18"/>
      <c r="K216" s="18"/>
      <c r="L216" s="19">
        <f>SUM(F216:K216)</f>
        <v>26119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f>16494</f>
        <v>16494</v>
      </c>
      <c r="I226" s="18"/>
      <c r="J226" s="18"/>
      <c r="K226" s="18"/>
      <c r="L226" s="19">
        <f t="shared" si="2"/>
        <v>16494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112770.21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112770.21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208521.24</v>
      </c>
      <c r="I233" s="18"/>
      <c r="J233" s="18"/>
      <c r="K233" s="18"/>
      <c r="L233" s="19">
        <f>SUM(F233:K233)</f>
        <v>208521.24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>
        <v>155716.49</v>
      </c>
      <c r="I234" s="18"/>
      <c r="J234" s="18"/>
      <c r="K234" s="18"/>
      <c r="L234" s="19">
        <f>SUM(F234:K234)</f>
        <v>155716.49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f>16494+7193</f>
        <v>23687</v>
      </c>
      <c r="I244" s="18"/>
      <c r="J244" s="18"/>
      <c r="K244" s="18"/>
      <c r="L244" s="19">
        <f t="shared" si="4"/>
        <v>23687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387924.73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387924.73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635453.24</v>
      </c>
      <c r="G257" s="41">
        <f t="shared" si="8"/>
        <v>227230.46999999997</v>
      </c>
      <c r="H257" s="41">
        <f t="shared" si="8"/>
        <v>828809.3</v>
      </c>
      <c r="I257" s="41">
        <f t="shared" si="8"/>
        <v>53974.37</v>
      </c>
      <c r="J257" s="41">
        <f t="shared" si="8"/>
        <v>19752.02</v>
      </c>
      <c r="K257" s="41">
        <f t="shared" si="8"/>
        <v>3552.43</v>
      </c>
      <c r="L257" s="41">
        <f t="shared" si="8"/>
        <v>1768771.8299999998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14628.59</v>
      </c>
      <c r="L263" s="19">
        <f>SUM(F263:K263)</f>
        <v>14628.59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>
        <v>20077</v>
      </c>
      <c r="L264" s="19">
        <f t="shared" ref="L264:L270" si="9">SUM(F264:K264)</f>
        <v>20077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>
        <v>2958.58</v>
      </c>
      <c r="L265" s="19">
        <f t="shared" si="9"/>
        <v>2958.58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f>50000+25000</f>
        <v>75000</v>
      </c>
      <c r="L266" s="19">
        <f t="shared" si="9"/>
        <v>75000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112664.17</v>
      </c>
      <c r="L270" s="41">
        <f t="shared" si="9"/>
        <v>112664.17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635453.24</v>
      </c>
      <c r="G271" s="42">
        <f t="shared" si="11"/>
        <v>227230.46999999997</v>
      </c>
      <c r="H271" s="42">
        <f t="shared" si="11"/>
        <v>828809.3</v>
      </c>
      <c r="I271" s="42">
        <f t="shared" si="11"/>
        <v>53974.37</v>
      </c>
      <c r="J271" s="42">
        <f t="shared" si="11"/>
        <v>19752.02</v>
      </c>
      <c r="K271" s="42">
        <f t="shared" si="11"/>
        <v>116216.59999999999</v>
      </c>
      <c r="L271" s="42">
        <f t="shared" si="11"/>
        <v>1881435.9999999998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f>1567.5+14819+17378.21+13961.5+30105.14+515+3014.5+490+8090+682.5</f>
        <v>90623.35</v>
      </c>
      <c r="G276" s="18">
        <f>119.91+8.31+2463.15+170.63+3368.93+235.77+270.02+18.72+708.65+49.09</f>
        <v>7413.1800000000012</v>
      </c>
      <c r="H276" s="18"/>
      <c r="I276" s="18">
        <f>1817.73+2949.98+164.94+453.41+2888.5+401.45+4302.29+72.14+10357.99+225.86</f>
        <v>23634.29</v>
      </c>
      <c r="J276" s="18">
        <f>1.21+1651.71+2572.45+69.59+170.36</f>
        <v>4465.32</v>
      </c>
      <c r="K276" s="18"/>
      <c r="L276" s="19">
        <f>SUM(F276:K276)</f>
        <v>126136.14000000001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f>9166.8</f>
        <v>9166.7999999999993</v>
      </c>
      <c r="G277" s="18">
        <f>701.26+48.6</f>
        <v>749.86</v>
      </c>
      <c r="H277" s="18"/>
      <c r="I277" s="18"/>
      <c r="J277" s="18"/>
      <c r="K277" s="18"/>
      <c r="L277" s="19">
        <f>SUM(F277:K277)</f>
        <v>9916.66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>
        <f>2282+11986.1</f>
        <v>14268.1</v>
      </c>
      <c r="G279" s="18">
        <f>1091.55+51.47</f>
        <v>1143.02</v>
      </c>
      <c r="H279" s="18">
        <f>8025+4967.42+413.17</f>
        <v>13405.59</v>
      </c>
      <c r="I279" s="18">
        <f>1610.94</f>
        <v>1610.94</v>
      </c>
      <c r="J279" s="18"/>
      <c r="K279" s="18">
        <f>3245.4+20</f>
        <v>3265.4</v>
      </c>
      <c r="L279" s="19">
        <f>SUM(F279:K279)</f>
        <v>33693.049999999996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>
        <f>26.5+1490.93+493.14</f>
        <v>2010.5700000000002</v>
      </c>
      <c r="J281" s="18">
        <f>303.99</f>
        <v>303.99</v>
      </c>
      <c r="K281" s="18">
        <f>227.72</f>
        <v>227.72</v>
      </c>
      <c r="L281" s="19">
        <f t="shared" ref="L281:L287" si="12">SUM(F281:K281)</f>
        <v>2542.2800000000002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f>1000+210+370.55+89.25</f>
        <v>1669.8</v>
      </c>
      <c r="G282" s="18">
        <f>76.5+141.6+5.3+16.07+1.11+35.16+2.43</f>
        <v>278.17</v>
      </c>
      <c r="H282" s="18">
        <f>4000+1039.62+826.35+1371.67+2128.33+526.82+179.49</f>
        <v>10072.280000000001</v>
      </c>
      <c r="I282" s="18">
        <f>3834.6</f>
        <v>3834.6</v>
      </c>
      <c r="J282" s="18"/>
      <c r="K282" s="18"/>
      <c r="L282" s="19">
        <f t="shared" si="12"/>
        <v>15854.85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>
        <f>14862.4+36387.54</f>
        <v>51249.94</v>
      </c>
      <c r="G283" s="18">
        <f>5099.6+188.48+19.8+50+1088.71+2104.45+74.15+12485.28+461.51+48.6+122.5+2665+5152.45+181.58</f>
        <v>29742.11</v>
      </c>
      <c r="H283" s="18">
        <f>611.38+1496.86+452.72+105.78+1108.43+1250+1250+125+125</f>
        <v>6525.17</v>
      </c>
      <c r="I283" s="18">
        <f>1150+150</f>
        <v>1300</v>
      </c>
      <c r="J283" s="18"/>
      <c r="K283" s="18">
        <f>543.46</f>
        <v>543.46</v>
      </c>
      <c r="L283" s="19">
        <f t="shared" si="12"/>
        <v>89360.680000000008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>
        <v>5890.48</v>
      </c>
      <c r="L285" s="19">
        <f t="shared" si="12"/>
        <v>5890.48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>
        <v>167.5</v>
      </c>
      <c r="I287" s="18"/>
      <c r="J287" s="18"/>
      <c r="K287" s="18"/>
      <c r="L287" s="19">
        <f t="shared" si="12"/>
        <v>167.5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>
        <v>730</v>
      </c>
      <c r="I288" s="18"/>
      <c r="J288" s="18"/>
      <c r="K288" s="18"/>
      <c r="L288" s="19">
        <f>SUM(F288:K288)</f>
        <v>730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166977.99000000002</v>
      </c>
      <c r="G290" s="42">
        <f t="shared" si="13"/>
        <v>39326.340000000004</v>
      </c>
      <c r="H290" s="42">
        <f t="shared" si="13"/>
        <v>30900.54</v>
      </c>
      <c r="I290" s="42">
        <f t="shared" si="13"/>
        <v>32390.399999999998</v>
      </c>
      <c r="J290" s="42">
        <f t="shared" si="13"/>
        <v>4769.3099999999995</v>
      </c>
      <c r="K290" s="42">
        <f t="shared" si="13"/>
        <v>9927.06</v>
      </c>
      <c r="L290" s="41">
        <f t="shared" si="13"/>
        <v>284291.64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166977.99000000002</v>
      </c>
      <c r="G338" s="41">
        <f t="shared" si="20"/>
        <v>39326.340000000004</v>
      </c>
      <c r="H338" s="41">
        <f t="shared" si="20"/>
        <v>30900.54</v>
      </c>
      <c r="I338" s="41">
        <f t="shared" si="20"/>
        <v>32390.399999999998</v>
      </c>
      <c r="J338" s="41">
        <f t="shared" si="20"/>
        <v>4769.3099999999995</v>
      </c>
      <c r="K338" s="41">
        <f t="shared" si="20"/>
        <v>9927.06</v>
      </c>
      <c r="L338" s="41">
        <f t="shared" si="20"/>
        <v>284291.64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166977.99000000002</v>
      </c>
      <c r="G352" s="41">
        <f>G338</f>
        <v>39326.340000000004</v>
      </c>
      <c r="H352" s="41">
        <f>H338</f>
        <v>30900.54</v>
      </c>
      <c r="I352" s="41">
        <f>I338</f>
        <v>32390.399999999998</v>
      </c>
      <c r="J352" s="41">
        <f>J338</f>
        <v>4769.3099999999995</v>
      </c>
      <c r="K352" s="47">
        <f>K338+K351</f>
        <v>9927.06</v>
      </c>
      <c r="L352" s="41">
        <f>L338+L351</f>
        <v>284291.64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14382.74</v>
      </c>
      <c r="G358" s="18">
        <f>1100.28+76.22</f>
        <v>1176.5</v>
      </c>
      <c r="H358" s="18">
        <f>4825+570.43+268.8</f>
        <v>5664.2300000000005</v>
      </c>
      <c r="I358" s="18">
        <f>910.14+12426.84</f>
        <v>13336.98</v>
      </c>
      <c r="J358" s="18"/>
      <c r="K358" s="18">
        <v>210.33</v>
      </c>
      <c r="L358" s="13">
        <f>SUM(F358:K358)</f>
        <v>34770.78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14382.74</v>
      </c>
      <c r="G362" s="47">
        <f t="shared" si="22"/>
        <v>1176.5</v>
      </c>
      <c r="H362" s="47">
        <f t="shared" si="22"/>
        <v>5664.2300000000005</v>
      </c>
      <c r="I362" s="47">
        <f t="shared" si="22"/>
        <v>13336.98</v>
      </c>
      <c r="J362" s="47">
        <f t="shared" si="22"/>
        <v>0</v>
      </c>
      <c r="K362" s="47">
        <f t="shared" si="22"/>
        <v>210.33</v>
      </c>
      <c r="L362" s="47">
        <f t="shared" si="22"/>
        <v>34770.78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12426.84</v>
      </c>
      <c r="G367" s="18"/>
      <c r="H367" s="18"/>
      <c r="I367" s="56">
        <f>SUM(F367:H367)</f>
        <v>12426.84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910.14</v>
      </c>
      <c r="G368" s="63"/>
      <c r="H368" s="63"/>
      <c r="I368" s="56">
        <f>SUM(F368:H368)</f>
        <v>910.14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13336.98</v>
      </c>
      <c r="G369" s="47">
        <f>SUM(G367:G368)</f>
        <v>0</v>
      </c>
      <c r="H369" s="47">
        <f>SUM(H367:H368)</f>
        <v>0</v>
      </c>
      <c r="I369" s="47">
        <f>SUM(I367:I368)</f>
        <v>13336.98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>
        <v>62958.58</v>
      </c>
      <c r="I379" s="18"/>
      <c r="J379" s="18"/>
      <c r="K379" s="18"/>
      <c r="L379" s="13">
        <f t="shared" si="23"/>
        <v>62958.58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62958.58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62958.58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>
        <v>50000</v>
      </c>
      <c r="H389" s="18">
        <v>15.47</v>
      </c>
      <c r="I389" s="18"/>
      <c r="J389" s="24" t="s">
        <v>289</v>
      </c>
      <c r="K389" s="24" t="s">
        <v>289</v>
      </c>
      <c r="L389" s="56">
        <f t="shared" si="25"/>
        <v>50015.47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50000</v>
      </c>
      <c r="H393" s="139">
        <f>SUM(H387:H392)</f>
        <v>15.47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50015.47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>
        <v>25000</v>
      </c>
      <c r="H398" s="18">
        <v>12.98</v>
      </c>
      <c r="I398" s="18"/>
      <c r="J398" s="24" t="s">
        <v>289</v>
      </c>
      <c r="K398" s="24" t="s">
        <v>289</v>
      </c>
      <c r="L398" s="56">
        <f t="shared" si="26"/>
        <v>25012.98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25000</v>
      </c>
      <c r="H401" s="47">
        <f>SUM(H395:H400)</f>
        <v>12.98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25012.98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75000</v>
      </c>
      <c r="H408" s="47">
        <f>H393+H401+H407</f>
        <v>28.450000000000003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75028.45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>
        <v>60000</v>
      </c>
      <c r="L418" s="56">
        <f t="shared" si="27"/>
        <v>60000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60000</v>
      </c>
      <c r="L419" s="47">
        <f t="shared" si="28"/>
        <v>60000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60000</v>
      </c>
      <c r="L434" s="47">
        <f t="shared" si="32"/>
        <v>60000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>
        <v>133994</v>
      </c>
      <c r="G440" s="18">
        <v>131631.98000000001</v>
      </c>
      <c r="H440" s="18"/>
      <c r="I440" s="56">
        <f t="shared" si="33"/>
        <v>265625.98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133994</v>
      </c>
      <c r="G446" s="13">
        <f>SUM(G439:G445)</f>
        <v>131631.98000000001</v>
      </c>
      <c r="H446" s="13">
        <f>SUM(H439:H445)</f>
        <v>0</v>
      </c>
      <c r="I446" s="13">
        <f>SUM(I439:I445)</f>
        <v>265625.98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133994</v>
      </c>
      <c r="G459" s="18">
        <v>131631.98000000001</v>
      </c>
      <c r="H459" s="18"/>
      <c r="I459" s="56">
        <f t="shared" si="34"/>
        <v>265625.98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133994</v>
      </c>
      <c r="G460" s="83">
        <f>SUM(G454:G459)</f>
        <v>131631.98000000001</v>
      </c>
      <c r="H460" s="83">
        <f>SUM(H454:H459)</f>
        <v>0</v>
      </c>
      <c r="I460" s="83">
        <f>SUM(I454:I459)</f>
        <v>265625.98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133994</v>
      </c>
      <c r="G461" s="42">
        <f>G452+G460</f>
        <v>131631.98000000001</v>
      </c>
      <c r="H461" s="42">
        <f>H452+H460</f>
        <v>0</v>
      </c>
      <c r="I461" s="42">
        <f>I452+I460</f>
        <v>265625.98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904</v>
      </c>
      <c r="B465" s="105">
        <v>19</v>
      </c>
      <c r="C465" s="111">
        <v>1</v>
      </c>
      <c r="D465" s="2" t="s">
        <v>433</v>
      </c>
      <c r="E465" s="111"/>
      <c r="F465" s="18">
        <v>145752.37</v>
      </c>
      <c r="G465" s="18">
        <v>0</v>
      </c>
      <c r="H465" s="18">
        <v>33412.699999999997</v>
      </c>
      <c r="I465" s="18">
        <v>0</v>
      </c>
      <c r="J465" s="18">
        <v>250597.53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f>1885008.74-120000</f>
        <v>1765008.74</v>
      </c>
      <c r="G468" s="18">
        <v>34770.78</v>
      </c>
      <c r="H468" s="18">
        <v>328595.58</v>
      </c>
      <c r="I468" s="18">
        <v>62958.58</v>
      </c>
      <c r="J468" s="18">
        <v>75028.45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1765008.74</v>
      </c>
      <c r="G470" s="53">
        <f>SUM(G468:G469)</f>
        <v>34770.78</v>
      </c>
      <c r="H470" s="53">
        <f>SUM(H468:H469)</f>
        <v>328595.58</v>
      </c>
      <c r="I470" s="53">
        <f>SUM(I468:I469)</f>
        <v>62958.58</v>
      </c>
      <c r="J470" s="53">
        <f>SUM(J468:J469)</f>
        <v>75028.45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f>1888936-7500</f>
        <v>1881436</v>
      </c>
      <c r="G472" s="18">
        <v>34770.78</v>
      </c>
      <c r="H472" s="18">
        <v>284291.64</v>
      </c>
      <c r="I472" s="18">
        <v>62958.58</v>
      </c>
      <c r="J472" s="18">
        <v>60000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>
        <v>0.6</v>
      </c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1881436</v>
      </c>
      <c r="G474" s="53">
        <f>SUM(G472:G473)</f>
        <v>34770.78</v>
      </c>
      <c r="H474" s="53">
        <f>SUM(H472:H473)</f>
        <v>284292.24</v>
      </c>
      <c r="I474" s="53">
        <f>SUM(I472:I473)</f>
        <v>62958.58</v>
      </c>
      <c r="J474" s="53">
        <f>SUM(J472:J473)</f>
        <v>60000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903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29325.10999999987</v>
      </c>
      <c r="G476" s="53">
        <f>(G465+G470)- G474</f>
        <v>0</v>
      </c>
      <c r="H476" s="53">
        <f>(H465+H470)- H474</f>
        <v>77716.040000000037</v>
      </c>
      <c r="I476" s="53">
        <f>(I465+I470)- I474</f>
        <v>0</v>
      </c>
      <c r="J476" s="53">
        <f>(J465+J470)- J474</f>
        <v>265625.98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f>34078.72+44581+9166.8</f>
        <v>87826.52</v>
      </c>
      <c r="G521" s="18">
        <f>19539.22+950.19+139.91+146.8+5882.04+4650.74+416.6+701.26+48.6</f>
        <v>32475.359999999997</v>
      </c>
      <c r="H521" s="18">
        <f>6643.42+52.08+990</f>
        <v>7685.5</v>
      </c>
      <c r="I521" s="18">
        <f>99.26</f>
        <v>99.26</v>
      </c>
      <c r="J521" s="18"/>
      <c r="K521" s="18"/>
      <c r="L521" s="88">
        <f>SUM(F521:K521)</f>
        <v>128086.64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>
        <f>26119</f>
        <v>26119</v>
      </c>
      <c r="I522" s="18"/>
      <c r="J522" s="18"/>
      <c r="K522" s="18"/>
      <c r="L522" s="88">
        <f>SUM(F522:K522)</f>
        <v>26119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>
        <f>155716.49</f>
        <v>155716.49</v>
      </c>
      <c r="I523" s="18"/>
      <c r="J523" s="18"/>
      <c r="K523" s="18"/>
      <c r="L523" s="88">
        <f>SUM(F523:K523)</f>
        <v>155716.49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87826.52</v>
      </c>
      <c r="G524" s="108">
        <f t="shared" ref="G524:L524" si="36">SUM(G521:G523)</f>
        <v>32475.359999999997</v>
      </c>
      <c r="H524" s="108">
        <f t="shared" si="36"/>
        <v>189520.99</v>
      </c>
      <c r="I524" s="108">
        <f t="shared" si="36"/>
        <v>99.26</v>
      </c>
      <c r="J524" s="108">
        <f t="shared" si="36"/>
        <v>0</v>
      </c>
      <c r="K524" s="108">
        <f t="shared" si="36"/>
        <v>0</v>
      </c>
      <c r="L524" s="89">
        <f t="shared" si="36"/>
        <v>309922.13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f>4732.96</f>
        <v>4732.96</v>
      </c>
      <c r="G526" s="18">
        <f>362.08+25.12</f>
        <v>387.2</v>
      </c>
      <c r="H526" s="18">
        <f>600+5509.25+15442.88+23590+6366.75</f>
        <v>51508.88</v>
      </c>
      <c r="I526" s="18">
        <f>310.94</f>
        <v>310.94</v>
      </c>
      <c r="J526" s="18">
        <f>1139.25</f>
        <v>1139.25</v>
      </c>
      <c r="K526" s="18"/>
      <c r="L526" s="88">
        <f>SUM(F526:K526)</f>
        <v>58079.229999999996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4732.96</v>
      </c>
      <c r="G529" s="89">
        <f t="shared" ref="G529:L529" si="37">SUM(G526:G528)</f>
        <v>387.2</v>
      </c>
      <c r="H529" s="89">
        <f t="shared" si="37"/>
        <v>51508.88</v>
      </c>
      <c r="I529" s="89">
        <f t="shared" si="37"/>
        <v>310.94</v>
      </c>
      <c r="J529" s="89">
        <f t="shared" si="37"/>
        <v>1139.25</v>
      </c>
      <c r="K529" s="89">
        <f t="shared" si="37"/>
        <v>0</v>
      </c>
      <c r="L529" s="89">
        <f t="shared" si="37"/>
        <v>58079.229999999996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>
        <v>10092</v>
      </c>
      <c r="I531" s="18"/>
      <c r="J531" s="18"/>
      <c r="K531" s="18">
        <v>870.88</v>
      </c>
      <c r="L531" s="88">
        <f>SUM(F531:K531)</f>
        <v>10962.88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10092</v>
      </c>
      <c r="I534" s="89">
        <f t="shared" si="38"/>
        <v>0</v>
      </c>
      <c r="J534" s="89">
        <f t="shared" si="38"/>
        <v>0</v>
      </c>
      <c r="K534" s="89">
        <f t="shared" si="38"/>
        <v>870.88</v>
      </c>
      <c r="L534" s="89">
        <f t="shared" si="38"/>
        <v>10962.88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/>
      <c r="I541" s="18"/>
      <c r="J541" s="18"/>
      <c r="K541" s="18"/>
      <c r="L541" s="88">
        <f>SUM(F541:K541)</f>
        <v>0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7193</v>
      </c>
      <c r="I543" s="18"/>
      <c r="J543" s="18"/>
      <c r="K543" s="18"/>
      <c r="L543" s="88">
        <f>SUM(F543:K543)</f>
        <v>7193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7193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7193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92559.48000000001</v>
      </c>
      <c r="G545" s="89">
        <f t="shared" ref="G545:L545" si="41">G524+G529+G534+G539+G544</f>
        <v>32862.559999999998</v>
      </c>
      <c r="H545" s="89">
        <f t="shared" si="41"/>
        <v>258314.87</v>
      </c>
      <c r="I545" s="89">
        <f t="shared" si="41"/>
        <v>410.2</v>
      </c>
      <c r="J545" s="89">
        <f t="shared" si="41"/>
        <v>1139.25</v>
      </c>
      <c r="K545" s="89">
        <f t="shared" si="41"/>
        <v>870.88</v>
      </c>
      <c r="L545" s="89">
        <f t="shared" si="41"/>
        <v>386157.24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128086.64</v>
      </c>
      <c r="G549" s="87">
        <f>L526</f>
        <v>58079.229999999996</v>
      </c>
      <c r="H549" s="87">
        <f>L531</f>
        <v>10962.88</v>
      </c>
      <c r="I549" s="87">
        <f>L536</f>
        <v>0</v>
      </c>
      <c r="J549" s="87">
        <f>L541</f>
        <v>0</v>
      </c>
      <c r="K549" s="87">
        <f>SUM(F549:J549)</f>
        <v>197128.75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26119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26119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155716.49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7193</v>
      </c>
      <c r="K551" s="87">
        <f>SUM(F551:J551)</f>
        <v>162909.49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309922.13</v>
      </c>
      <c r="G552" s="89">
        <f t="shared" si="42"/>
        <v>58079.229999999996</v>
      </c>
      <c r="H552" s="89">
        <f t="shared" si="42"/>
        <v>10962.88</v>
      </c>
      <c r="I552" s="89">
        <f t="shared" si="42"/>
        <v>0</v>
      </c>
      <c r="J552" s="89">
        <f t="shared" si="42"/>
        <v>7193</v>
      </c>
      <c r="K552" s="89">
        <f t="shared" si="42"/>
        <v>386157.24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>
        <v>70157.210000000006</v>
      </c>
      <c r="H575" s="18">
        <v>208521.24</v>
      </c>
      <c r="I575" s="87">
        <f>SUM(F575:H575)</f>
        <v>278678.45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>
        <v>990</v>
      </c>
      <c r="G579" s="18">
        <v>26119</v>
      </c>
      <c r="H579" s="18">
        <v>130559.72</v>
      </c>
      <c r="I579" s="87">
        <f t="shared" si="47"/>
        <v>157668.72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/>
      <c r="G582" s="18"/>
      <c r="H582" s="18">
        <v>25156.77</v>
      </c>
      <c r="I582" s="87">
        <f t="shared" si="47"/>
        <v>25156.77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49848.5</v>
      </c>
      <c r="I591" s="18">
        <v>16494</v>
      </c>
      <c r="J591" s="18">
        <v>16494</v>
      </c>
      <c r="K591" s="104">
        <f t="shared" ref="K591:K597" si="48">SUM(H591:J591)</f>
        <v>82836.5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/>
      <c r="I592" s="18"/>
      <c r="J592" s="18">
        <v>7193</v>
      </c>
      <c r="K592" s="104">
        <f t="shared" si="48"/>
        <v>7193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158.65</v>
      </c>
      <c r="I595" s="18"/>
      <c r="J595" s="18"/>
      <c r="K595" s="104">
        <f t="shared" si="48"/>
        <v>158.65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>
        <v>16491.400000000001</v>
      </c>
      <c r="I597" s="18"/>
      <c r="J597" s="18"/>
      <c r="K597" s="104">
        <f t="shared" si="48"/>
        <v>16491.400000000001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66498.55</v>
      </c>
      <c r="I598" s="108">
        <f>SUM(I591:I597)</f>
        <v>16494</v>
      </c>
      <c r="J598" s="108">
        <f>SUM(J591:J597)</f>
        <v>23687</v>
      </c>
      <c r="K598" s="108">
        <f>SUM(K591:K597)</f>
        <v>106679.54999999999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24521.33</v>
      </c>
      <c r="I604" s="18"/>
      <c r="J604" s="18"/>
      <c r="K604" s="104">
        <f>SUM(H604:J604)</f>
        <v>24521.33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24521.33</v>
      </c>
      <c r="I605" s="108">
        <f>SUM(I602:I604)</f>
        <v>0</v>
      </c>
      <c r="J605" s="108">
        <f>SUM(J602:J604)</f>
        <v>0</v>
      </c>
      <c r="K605" s="108">
        <f>SUM(K602:K604)</f>
        <v>24521.33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f>140+2282+11986.1</f>
        <v>14408.1</v>
      </c>
      <c r="G611" s="18">
        <f>10.71+0.51+1091.55+51.47</f>
        <v>1154.24</v>
      </c>
      <c r="H611" s="18">
        <f>4967.42+413.17</f>
        <v>5380.59</v>
      </c>
      <c r="I611" s="18">
        <f>1610.94</f>
        <v>1610.94</v>
      </c>
      <c r="J611" s="18"/>
      <c r="K611" s="18">
        <v>20</v>
      </c>
      <c r="L611" s="88">
        <f>SUM(F611:K611)</f>
        <v>22573.87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14408.1</v>
      </c>
      <c r="G614" s="108">
        <f t="shared" si="49"/>
        <v>1154.24</v>
      </c>
      <c r="H614" s="108">
        <f t="shared" si="49"/>
        <v>5380.59</v>
      </c>
      <c r="I614" s="108">
        <f t="shared" si="49"/>
        <v>1610.94</v>
      </c>
      <c r="J614" s="108">
        <f t="shared" si="49"/>
        <v>0</v>
      </c>
      <c r="K614" s="108">
        <f t="shared" si="49"/>
        <v>20</v>
      </c>
      <c r="L614" s="89">
        <f t="shared" si="49"/>
        <v>22573.87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167966.63</v>
      </c>
      <c r="H617" s="109">
        <f>SUM(F52)</f>
        <v>167966.63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1032.32</v>
      </c>
      <c r="H618" s="109">
        <f>SUM(G52)</f>
        <v>1032.32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138455.06</v>
      </c>
      <c r="H619" s="109">
        <f>SUM(H52)</f>
        <v>138455.06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265625.98</v>
      </c>
      <c r="H621" s="109">
        <f>SUM(J52)</f>
        <v>265625.98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29325.11</v>
      </c>
      <c r="H622" s="109">
        <f>F476</f>
        <v>29325.10999999987</v>
      </c>
      <c r="I622" s="121" t="s">
        <v>101</v>
      </c>
      <c r="J622" s="109">
        <f t="shared" ref="J622:J655" si="50">G622-H622</f>
        <v>1.3096723705530167E-10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77716.039999999994</v>
      </c>
      <c r="H624" s="109">
        <f>H476</f>
        <v>77716.040000000037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265625.98</v>
      </c>
      <c r="H626" s="109">
        <f>J476</f>
        <v>265625.98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1765008.7399999998</v>
      </c>
      <c r="H627" s="104">
        <f>SUM(F468)</f>
        <v>1765008.74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34770.78</v>
      </c>
      <c r="H628" s="104">
        <f>SUM(G468)</f>
        <v>34770.78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328595.57999999996</v>
      </c>
      <c r="H629" s="104">
        <f>SUM(H468)</f>
        <v>328595.58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62958.58</v>
      </c>
      <c r="H630" s="104">
        <f>SUM(I468)</f>
        <v>62958.58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75028.45</v>
      </c>
      <c r="H631" s="104">
        <f>SUM(J468)</f>
        <v>75028.45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1881435.9999999998</v>
      </c>
      <c r="H632" s="104">
        <f>SUM(F472)</f>
        <v>1881436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284291.64</v>
      </c>
      <c r="H633" s="104">
        <f>SUM(H472)</f>
        <v>284291.64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13336.98</v>
      </c>
      <c r="H634" s="104">
        <f>I369</f>
        <v>13336.98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34770.78</v>
      </c>
      <c r="H635" s="104">
        <f>SUM(G472)</f>
        <v>34770.78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62958.58</v>
      </c>
      <c r="H636" s="104">
        <f>SUM(I472)</f>
        <v>62958.58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75028.45</v>
      </c>
      <c r="H637" s="164">
        <f>SUM(J468)</f>
        <v>75028.45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60000</v>
      </c>
      <c r="H638" s="164">
        <f>SUM(J472)</f>
        <v>60000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133994</v>
      </c>
      <c r="H639" s="104">
        <f>SUM(F461)</f>
        <v>133994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131631.98000000001</v>
      </c>
      <c r="H640" s="104">
        <f>SUM(G461)</f>
        <v>131631.98000000001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265625.98</v>
      </c>
      <c r="H642" s="104">
        <f>SUM(I461)</f>
        <v>265625.98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28.450000000000003</v>
      </c>
      <c r="H644" s="104">
        <f>H408</f>
        <v>28.450000000000003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75000</v>
      </c>
      <c r="H645" s="104">
        <f>G408</f>
        <v>75000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75028.45</v>
      </c>
      <c r="H646" s="104">
        <f>L408</f>
        <v>75028.45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106679.54999999999</v>
      </c>
      <c r="H647" s="104">
        <f>L208+L226+L244</f>
        <v>106679.55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24521.33</v>
      </c>
      <c r="H648" s="104">
        <f>(J257+J338)-(J255+J336)</f>
        <v>24521.33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66498.55</v>
      </c>
      <c r="H649" s="104">
        <f>H598</f>
        <v>66498.55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16494</v>
      </c>
      <c r="H650" s="104">
        <f>I598</f>
        <v>16494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23687</v>
      </c>
      <c r="H651" s="104">
        <f>J598</f>
        <v>23687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14628.59</v>
      </c>
      <c r="H652" s="104">
        <f>K263+K345</f>
        <v>14628.59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20077</v>
      </c>
      <c r="H653" s="104">
        <f>K264</f>
        <v>20077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2958.58</v>
      </c>
      <c r="H654" s="104">
        <f>K265+K346</f>
        <v>2958.58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75000</v>
      </c>
      <c r="H655" s="104">
        <f>K266+K347</f>
        <v>75000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1587139.3099999998</v>
      </c>
      <c r="G660" s="19">
        <f>(L229+L309+L359)</f>
        <v>112770.21</v>
      </c>
      <c r="H660" s="19">
        <f>(L247+L328+L360)</f>
        <v>387924.73</v>
      </c>
      <c r="I660" s="19">
        <f>SUM(F660:H660)</f>
        <v>2087834.2499999998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9860.6500000000015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9860.6500000000015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66666.05</v>
      </c>
      <c r="G662" s="19">
        <f>(L226+L306)-(J226+J306)</f>
        <v>16494</v>
      </c>
      <c r="H662" s="19">
        <f>(L244+L325)-(J244+J325)</f>
        <v>23687</v>
      </c>
      <c r="I662" s="19">
        <f>SUM(F662:H662)</f>
        <v>106847.05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48085.2</v>
      </c>
      <c r="G663" s="199">
        <f>SUM(G575:G587)+SUM(I602:I604)+L612</f>
        <v>96276.21</v>
      </c>
      <c r="H663" s="199">
        <f>SUM(H575:H587)+SUM(J602:J604)+L613</f>
        <v>364237.73</v>
      </c>
      <c r="I663" s="19">
        <f>SUM(F663:H663)</f>
        <v>508599.14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1462527.41</v>
      </c>
      <c r="G664" s="19">
        <f>G660-SUM(G661:G663)</f>
        <v>0</v>
      </c>
      <c r="H664" s="19">
        <f>H660-SUM(H661:H663)</f>
        <v>0</v>
      </c>
      <c r="I664" s="19">
        <f>I660-SUM(I661:I663)</f>
        <v>1462527.4099999997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53.21</v>
      </c>
      <c r="G665" s="248"/>
      <c r="H665" s="248"/>
      <c r="I665" s="19">
        <f>SUM(F665:H665)</f>
        <v>53.21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27485.95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27485.95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27485.95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27485.95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3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2014-2015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37" sqref="B37:C39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HARRISVILLE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2014-2015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415316.87</v>
      </c>
      <c r="C9" s="229">
        <f>'DOE25'!G197+'DOE25'!G215+'DOE25'!G233+'DOE25'!G276+'DOE25'!G295+'DOE25'!G314</f>
        <v>110260.90000000001</v>
      </c>
    </row>
    <row r="10" spans="1:3" x14ac:dyDescent="0.2">
      <c r="A10" t="s">
        <v>779</v>
      </c>
      <c r="B10" s="240">
        <v>346149.41</v>
      </c>
      <c r="C10" s="240">
        <v>94706.63</v>
      </c>
    </row>
    <row r="11" spans="1:3" x14ac:dyDescent="0.2">
      <c r="A11" t="s">
        <v>780</v>
      </c>
      <c r="B11" s="240">
        <v>58587.85</v>
      </c>
      <c r="C11" s="240">
        <v>15554.27</v>
      </c>
    </row>
    <row r="12" spans="1:3" x14ac:dyDescent="0.2">
      <c r="A12" t="s">
        <v>781</v>
      </c>
      <c r="B12" s="240">
        <v>10579.61</v>
      </c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415316.86999999994</v>
      </c>
      <c r="C13" s="231">
        <f>SUM(C10:C12)</f>
        <v>110260.90000000001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87826.52</v>
      </c>
      <c r="C18" s="229">
        <f>'DOE25'!G198+'DOE25'!G216+'DOE25'!G234+'DOE25'!G277+'DOE25'!G296+'DOE25'!G315</f>
        <v>32475.360000000001</v>
      </c>
    </row>
    <row r="19" spans="1:3" x14ac:dyDescent="0.2">
      <c r="A19" t="s">
        <v>779</v>
      </c>
      <c r="B19" s="240">
        <v>34078.720000000001</v>
      </c>
      <c r="C19" s="240">
        <v>12601.19</v>
      </c>
    </row>
    <row r="20" spans="1:3" x14ac:dyDescent="0.2">
      <c r="A20" t="s">
        <v>780</v>
      </c>
      <c r="B20" s="240">
        <v>53747.8</v>
      </c>
      <c r="C20" s="240">
        <v>19874.169999999998</v>
      </c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87826.52</v>
      </c>
      <c r="C22" s="231">
        <f>SUM(C19:C21)</f>
        <v>32475.360000000001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15348.1</v>
      </c>
      <c r="C36" s="235">
        <f>'DOE25'!G200+'DOE25'!G218+'DOE25'!G236+'DOE25'!G279+'DOE25'!G298+'DOE25'!G317</f>
        <v>1343.92</v>
      </c>
    </row>
    <row r="37" spans="1:3" x14ac:dyDescent="0.2">
      <c r="A37" t="s">
        <v>779</v>
      </c>
      <c r="B37" s="240">
        <v>3362</v>
      </c>
      <c r="C37" s="240">
        <v>294.39</v>
      </c>
    </row>
    <row r="38" spans="1:3" x14ac:dyDescent="0.2">
      <c r="A38" t="s">
        <v>780</v>
      </c>
      <c r="B38" s="240">
        <v>11986.1</v>
      </c>
      <c r="C38" s="240">
        <v>1049.53</v>
      </c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15348.1</v>
      </c>
      <c r="C40" s="231">
        <f>SUM(C37:C39)</f>
        <v>1343.92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E11" sqref="E1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HARRISVILLE SCHOOL DISTRICT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1037567.35</v>
      </c>
      <c r="D5" s="20">
        <f>SUM('DOE25'!L197:L200)+SUM('DOE25'!L215:L218)+SUM('DOE25'!L233:L236)-F5-G5</f>
        <v>1028494.6</v>
      </c>
      <c r="E5" s="243"/>
      <c r="F5" s="255">
        <f>SUM('DOE25'!J197:J200)+SUM('DOE25'!J215:J218)+SUM('DOE25'!J233:J236)</f>
        <v>8684.82</v>
      </c>
      <c r="G5" s="53">
        <f>SUM('DOE25'!K197:K200)+SUM('DOE25'!K215:K218)+SUM('DOE25'!K233:K236)</f>
        <v>387.92999999999995</v>
      </c>
      <c r="H5" s="259"/>
    </row>
    <row r="6" spans="1:9" x14ac:dyDescent="0.2">
      <c r="A6" s="32">
        <v>2100</v>
      </c>
      <c r="B6" t="s">
        <v>801</v>
      </c>
      <c r="C6" s="245">
        <f t="shared" si="0"/>
        <v>164592.59</v>
      </c>
      <c r="D6" s="20">
        <f>'DOE25'!L202+'DOE25'!L220+'DOE25'!L238-F6-G6</f>
        <v>163453.34</v>
      </c>
      <c r="E6" s="243"/>
      <c r="F6" s="255">
        <f>'DOE25'!J202+'DOE25'!J220+'DOE25'!J238</f>
        <v>1139.25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20686.87</v>
      </c>
      <c r="D7" s="20">
        <f>'DOE25'!L203+'DOE25'!L221+'DOE25'!L239-F7-G7</f>
        <v>20187.87</v>
      </c>
      <c r="E7" s="243"/>
      <c r="F7" s="255">
        <f>'DOE25'!J203+'DOE25'!J221+'DOE25'!J239</f>
        <v>0</v>
      </c>
      <c r="G7" s="53">
        <f>'DOE25'!K203+'DOE25'!K221+'DOE25'!K239</f>
        <v>499</v>
      </c>
      <c r="H7" s="259"/>
    </row>
    <row r="8" spans="1:9" x14ac:dyDescent="0.2">
      <c r="A8" s="32">
        <v>2300</v>
      </c>
      <c r="B8" t="s">
        <v>802</v>
      </c>
      <c r="C8" s="245">
        <f t="shared" si="0"/>
        <v>103130.99999999999</v>
      </c>
      <c r="D8" s="243"/>
      <c r="E8" s="20">
        <f>'DOE25'!L204+'DOE25'!L222+'DOE25'!L240-F8-G8-D9-D11</f>
        <v>100341.49999999999</v>
      </c>
      <c r="F8" s="255">
        <f>'DOE25'!J204+'DOE25'!J222+'DOE25'!J240</f>
        <v>228</v>
      </c>
      <c r="G8" s="53">
        <f>'DOE25'!K204+'DOE25'!K222+'DOE25'!K240</f>
        <v>2561.5</v>
      </c>
      <c r="H8" s="259"/>
    </row>
    <row r="9" spans="1:9" x14ac:dyDescent="0.2">
      <c r="A9" s="32">
        <v>2310</v>
      </c>
      <c r="B9" t="s">
        <v>818</v>
      </c>
      <c r="C9" s="245">
        <f t="shared" si="0"/>
        <v>12082.890000000001</v>
      </c>
      <c r="D9" s="244">
        <v>12082.890000000001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5900</v>
      </c>
      <c r="D10" s="243"/>
      <c r="E10" s="244">
        <v>5900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25291</v>
      </c>
      <c r="D11" s="244">
        <v>25291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151309.88999999998</v>
      </c>
      <c r="D12" s="20">
        <f>'DOE25'!L205+'DOE25'!L223+'DOE25'!L241-F12-G12</f>
        <v>151205.88999999998</v>
      </c>
      <c r="E12" s="243"/>
      <c r="F12" s="255">
        <f>'DOE25'!J205+'DOE25'!J223+'DOE25'!J241</f>
        <v>0</v>
      </c>
      <c r="G12" s="53">
        <f>'DOE25'!K205+'DOE25'!K223+'DOE25'!K241</f>
        <v>104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146671.94</v>
      </c>
      <c r="D14" s="20">
        <f>'DOE25'!L207+'DOE25'!L225+'DOE25'!L243-F14-G14</f>
        <v>136971.99</v>
      </c>
      <c r="E14" s="243"/>
      <c r="F14" s="255">
        <f>'DOE25'!J207+'DOE25'!J225+'DOE25'!J243</f>
        <v>9699.9500000000007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106679.55</v>
      </c>
      <c r="D15" s="20">
        <f>'DOE25'!L208+'DOE25'!L226+'DOE25'!L244-F15-G15</f>
        <v>106679.55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758.75</v>
      </c>
      <c r="D16" s="243"/>
      <c r="E16" s="20">
        <f>'DOE25'!L209+'DOE25'!L227+'DOE25'!L245-F16-G16</f>
        <v>758.75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22343.94</v>
      </c>
      <c r="D29" s="20">
        <f>'DOE25'!L358+'DOE25'!L359+'DOE25'!L360-'DOE25'!I367-F29-G29</f>
        <v>22133.609999999997</v>
      </c>
      <c r="E29" s="243"/>
      <c r="F29" s="255">
        <f>'DOE25'!J358+'DOE25'!J359+'DOE25'!J360</f>
        <v>0</v>
      </c>
      <c r="G29" s="53">
        <f>'DOE25'!K358+'DOE25'!K359+'DOE25'!K360</f>
        <v>210.33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284291.64</v>
      </c>
      <c r="D31" s="20">
        <f>'DOE25'!L290+'DOE25'!L309+'DOE25'!L328+'DOE25'!L333+'DOE25'!L334+'DOE25'!L335-F31-G31</f>
        <v>269595.27</v>
      </c>
      <c r="E31" s="243"/>
      <c r="F31" s="255">
        <f>'DOE25'!J290+'DOE25'!J309+'DOE25'!J328+'DOE25'!J333+'DOE25'!J334+'DOE25'!J335</f>
        <v>4769.3099999999995</v>
      </c>
      <c r="G31" s="53">
        <f>'DOE25'!K290+'DOE25'!K309+'DOE25'!K328+'DOE25'!K333+'DOE25'!K334+'DOE25'!K335</f>
        <v>9927.06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1936096.01</v>
      </c>
      <c r="E33" s="246">
        <f>SUM(E5:E31)</f>
        <v>107000.24999999999</v>
      </c>
      <c r="F33" s="246">
        <f>SUM(F5:F31)</f>
        <v>24521.33</v>
      </c>
      <c r="G33" s="246">
        <f>SUM(G5:G31)</f>
        <v>13689.82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107000.24999999999</v>
      </c>
      <c r="E35" s="249"/>
    </row>
    <row r="36" spans="2:8" ht="12" thickTop="1" x14ac:dyDescent="0.2">
      <c r="B36" t="s">
        <v>815</v>
      </c>
      <c r="D36" s="20">
        <f>D33</f>
        <v>1936096.01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132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HARRISVILLE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64854.009999999995</v>
      </c>
      <c r="D8" s="95">
        <f>'DOE25'!G9</f>
        <v>0</v>
      </c>
      <c r="E8" s="95">
        <f>'DOE25'!H9</f>
        <v>81002.19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37673.53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265625.98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43267.73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22171.360000000001</v>
      </c>
      <c r="D12" s="95">
        <f>'DOE25'!G13</f>
        <v>981.42</v>
      </c>
      <c r="E12" s="95">
        <f>'DOE25'!H13</f>
        <v>51923.040000000001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50.9</v>
      </c>
      <c r="E13" s="95">
        <f>'DOE25'!H14</f>
        <v>2909.83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2620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167966.63</v>
      </c>
      <c r="D18" s="41">
        <f>SUM(D8:D17)</f>
        <v>1032.32</v>
      </c>
      <c r="E18" s="41">
        <f>SUM(E8:E17)</f>
        <v>138455.06</v>
      </c>
      <c r="F18" s="41">
        <f>SUM(F8:F17)</f>
        <v>0</v>
      </c>
      <c r="G18" s="41">
        <f>SUM(G8:G17)</f>
        <v>265625.98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254.32</v>
      </c>
      <c r="E21" s="95">
        <f>'DOE25'!H22</f>
        <v>43013.41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668.6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10907.9</v>
      </c>
      <c r="D23" s="95">
        <f>'DOE25'!G24</f>
        <v>0</v>
      </c>
      <c r="E23" s="95">
        <f>'DOE25'!H24</f>
        <v>1620.52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7065.02</v>
      </c>
      <c r="D27" s="95">
        <f>'DOE25'!G28</f>
        <v>606</v>
      </c>
      <c r="E27" s="95">
        <f>'DOE25'!H28</f>
        <v>6290.34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172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120000</v>
      </c>
      <c r="D29" s="95">
        <f>'DOE25'!G30</f>
        <v>0</v>
      </c>
      <c r="E29" s="95">
        <f>'DOE25'!H30</f>
        <v>9814.75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138641.51999999999</v>
      </c>
      <c r="D31" s="41">
        <f>SUM(D21:D30)</f>
        <v>1032.32</v>
      </c>
      <c r="E31" s="41">
        <f>SUM(E21:E30)</f>
        <v>60739.020000000004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2620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480.78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20000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74615.259999999995</v>
      </c>
      <c r="F47" s="95">
        <f>'DOE25'!I48</f>
        <v>0</v>
      </c>
      <c r="G47" s="95">
        <f>'DOE25'!J48</f>
        <v>265625.98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2006.34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7318.77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29325.11</v>
      </c>
      <c r="D50" s="41">
        <f>SUM(D34:D49)</f>
        <v>0</v>
      </c>
      <c r="E50" s="41">
        <f>SUM(E34:E49)</f>
        <v>77716.039999999994</v>
      </c>
      <c r="F50" s="41">
        <f>SUM(F34:F49)</f>
        <v>0</v>
      </c>
      <c r="G50" s="41">
        <f>SUM(G34:G49)</f>
        <v>265625.98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167966.63</v>
      </c>
      <c r="D51" s="41">
        <f>D50+D31</f>
        <v>1032.32</v>
      </c>
      <c r="E51" s="41">
        <f>E50+E31</f>
        <v>138455.06</v>
      </c>
      <c r="F51" s="41">
        <f>F50+F31</f>
        <v>0</v>
      </c>
      <c r="G51" s="41">
        <f>G50+G31</f>
        <v>265625.98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1115495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46935.38</v>
      </c>
      <c r="D57" s="24" t="s">
        <v>289</v>
      </c>
      <c r="E57" s="95">
        <f>'DOE25'!H79</f>
        <v>70005.389999999985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79.540000000000006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28.450000000000003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9860.6500000000015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93194.19</v>
      </c>
      <c r="D61" s="95">
        <f>SUM('DOE25'!G98:G110)</f>
        <v>0</v>
      </c>
      <c r="E61" s="95">
        <f>SUM('DOE25'!H98:H110)</f>
        <v>3485.01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140209.10999999999</v>
      </c>
      <c r="D62" s="130">
        <f>SUM(D57:D61)</f>
        <v>9860.6500000000015</v>
      </c>
      <c r="E62" s="130">
        <f>SUM(E57:E61)</f>
        <v>73490.39999999998</v>
      </c>
      <c r="F62" s="130">
        <f>SUM(F57:F61)</f>
        <v>0</v>
      </c>
      <c r="G62" s="130">
        <f>SUM(G57:G61)</f>
        <v>28.450000000000003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1255704.1099999999</v>
      </c>
      <c r="D63" s="22">
        <f>D56+D62</f>
        <v>9860.6500000000015</v>
      </c>
      <c r="E63" s="22">
        <f>E56+E62</f>
        <v>73490.39999999998</v>
      </c>
      <c r="F63" s="22">
        <f>F56+F62</f>
        <v>0</v>
      </c>
      <c r="G63" s="22">
        <f>G56+G62</f>
        <v>28.450000000000003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13345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482733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496078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237.92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0</v>
      </c>
      <c r="D78" s="130">
        <f>SUM(D72:D77)</f>
        <v>237.92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496078</v>
      </c>
      <c r="D81" s="130">
        <f>SUM(D79:D80)+D78+D70</f>
        <v>237.92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5977.05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13226.63</v>
      </c>
      <c r="D88" s="95">
        <f>SUM('DOE25'!G153:G161)</f>
        <v>10043.620000000001</v>
      </c>
      <c r="E88" s="95">
        <f>SUM('DOE25'!H153:H161)</f>
        <v>229051.13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13226.63</v>
      </c>
      <c r="D91" s="131">
        <f>SUM(D85:D90)</f>
        <v>10043.620000000001</v>
      </c>
      <c r="E91" s="131">
        <f>SUM(E85:E90)</f>
        <v>235028.18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14628.59</v>
      </c>
      <c r="E96" s="95">
        <f>'DOE25'!H179</f>
        <v>20077</v>
      </c>
      <c r="F96" s="95">
        <f>'DOE25'!I179</f>
        <v>2958.58</v>
      </c>
      <c r="G96" s="95">
        <f>'DOE25'!J179</f>
        <v>75000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60000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14628.59</v>
      </c>
      <c r="E103" s="86">
        <f>SUM(E93:E102)</f>
        <v>20077</v>
      </c>
      <c r="F103" s="86">
        <f>SUM(F93:F102)</f>
        <v>62958.58</v>
      </c>
      <c r="G103" s="86">
        <f>SUM(G93:G102)</f>
        <v>75000</v>
      </c>
    </row>
    <row r="104" spans="1:7" ht="12.75" thickTop="1" thickBot="1" x14ac:dyDescent="0.25">
      <c r="A104" s="33" t="s">
        <v>765</v>
      </c>
      <c r="C104" s="86">
        <f>C63+C81+C91+C103</f>
        <v>1765008.7399999998</v>
      </c>
      <c r="D104" s="86">
        <f>D63+D81+D91+D103</f>
        <v>34770.78</v>
      </c>
      <c r="E104" s="86">
        <f>E63+E81+E91+E103</f>
        <v>328595.57999999996</v>
      </c>
      <c r="F104" s="86">
        <f>F63+F81+F91+F103</f>
        <v>62958.58</v>
      </c>
      <c r="G104" s="86">
        <f>G63+G81+G103</f>
        <v>75028.45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735928.35</v>
      </c>
      <c r="D109" s="24" t="s">
        <v>289</v>
      </c>
      <c r="E109" s="95">
        <f>('DOE25'!L276)+('DOE25'!L295)+('DOE25'!L314)</f>
        <v>126136.14000000001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300005.46999999997</v>
      </c>
      <c r="D110" s="24" t="s">
        <v>289</v>
      </c>
      <c r="E110" s="95">
        <f>('DOE25'!L277)+('DOE25'!L296)+('DOE25'!L315)</f>
        <v>9916.66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1633.5300000000002</v>
      </c>
      <c r="D112" s="24" t="s">
        <v>289</v>
      </c>
      <c r="E112" s="95">
        <f>+('DOE25'!L279)+('DOE25'!L298)+('DOE25'!L317)</f>
        <v>33693.049999999996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1037567.35</v>
      </c>
      <c r="D115" s="86">
        <f>SUM(D109:D114)</f>
        <v>0</v>
      </c>
      <c r="E115" s="86">
        <f>SUM(E109:E114)</f>
        <v>169745.85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164592.59</v>
      </c>
      <c r="D118" s="24" t="s">
        <v>289</v>
      </c>
      <c r="E118" s="95">
        <f>+('DOE25'!L281)+('DOE25'!L300)+('DOE25'!L319)</f>
        <v>2542.2800000000002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20686.87</v>
      </c>
      <c r="D119" s="24" t="s">
        <v>289</v>
      </c>
      <c r="E119" s="95">
        <f>+('DOE25'!L282)+('DOE25'!L301)+('DOE25'!L320)</f>
        <v>15854.85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140504.88999999998</v>
      </c>
      <c r="D120" s="24" t="s">
        <v>289</v>
      </c>
      <c r="E120" s="95">
        <f>+('DOE25'!L283)+('DOE25'!L302)+('DOE25'!L321)</f>
        <v>89360.680000000008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151309.88999999998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5890.48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146671.94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106679.55</v>
      </c>
      <c r="D124" s="24" t="s">
        <v>289</v>
      </c>
      <c r="E124" s="95">
        <f>+('DOE25'!L287)+('DOE25'!L306)+('DOE25'!L325)</f>
        <v>167.5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758.75</v>
      </c>
      <c r="D125" s="24" t="s">
        <v>289</v>
      </c>
      <c r="E125" s="95">
        <f>+('DOE25'!L288)+('DOE25'!L307)+('DOE25'!L326)</f>
        <v>730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34770.78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731204.48</v>
      </c>
      <c r="D128" s="86">
        <f>SUM(D118:D127)</f>
        <v>34770.78</v>
      </c>
      <c r="E128" s="86">
        <f>SUM(E118:E127)</f>
        <v>114545.79000000001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62958.58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60000</v>
      </c>
    </row>
    <row r="135" spans="1:7" x14ac:dyDescent="0.2">
      <c r="A135" t="s">
        <v>233</v>
      </c>
      <c r="B135" s="32" t="s">
        <v>234</v>
      </c>
      <c r="C135" s="95">
        <f>'DOE25'!L263</f>
        <v>14628.59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20077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2958.58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50015.47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25012.98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-28.44999999999709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112664.17</v>
      </c>
      <c r="D144" s="141">
        <f>SUM(D130:D143)</f>
        <v>0</v>
      </c>
      <c r="E144" s="141">
        <f>SUM(E130:E143)</f>
        <v>0</v>
      </c>
      <c r="F144" s="141">
        <f>SUM(F130:F143)</f>
        <v>62958.58</v>
      </c>
      <c r="G144" s="141">
        <f>SUM(G130:G143)</f>
        <v>60000</v>
      </c>
    </row>
    <row r="145" spans="1:9" ht="12.75" thickTop="1" thickBot="1" x14ac:dyDescent="0.25">
      <c r="A145" s="33" t="s">
        <v>244</v>
      </c>
      <c r="C145" s="86">
        <f>(C115+C128+C144)</f>
        <v>1881436</v>
      </c>
      <c r="D145" s="86">
        <f>(D115+D128+D144)</f>
        <v>34770.78</v>
      </c>
      <c r="E145" s="86">
        <f>(E115+E128+E144)</f>
        <v>284291.64</v>
      </c>
      <c r="F145" s="86">
        <f>(F115+F128+F144)</f>
        <v>62958.58</v>
      </c>
      <c r="G145" s="86">
        <f>(G115+G128+G144)</f>
        <v>60000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2014-2015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HARRISVILLE SCHOOL DISTRICT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27486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27486</v>
      </c>
    </row>
    <row r="9" spans="1:4" x14ac:dyDescent="0.2">
      <c r="A9" s="187" t="s">
        <v>94</v>
      </c>
      <c r="B9" s="188" t="s">
        <v>909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862064</v>
      </c>
      <c r="D10" s="182">
        <f>ROUND((C10/$C$28)*100,1)</f>
        <v>41.5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309922</v>
      </c>
      <c r="D11" s="182">
        <f>ROUND((C11/$C$28)*100,1)</f>
        <v>14.9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35327</v>
      </c>
      <c r="D13" s="182">
        <f>ROUND((C13/$C$28)*100,1)</f>
        <v>1.7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167135</v>
      </c>
      <c r="D15" s="182">
        <f t="shared" ref="D15:D27" si="0">ROUND((C15/$C$28)*100,1)</f>
        <v>8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36542</v>
      </c>
      <c r="D16" s="182">
        <f t="shared" si="0"/>
        <v>1.8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231354</v>
      </c>
      <c r="D17" s="182">
        <f t="shared" si="0"/>
        <v>11.1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151310</v>
      </c>
      <c r="D18" s="182">
        <f t="shared" si="0"/>
        <v>7.3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5890</v>
      </c>
      <c r="D19" s="182">
        <f t="shared" si="0"/>
        <v>0.3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146672</v>
      </c>
      <c r="D20" s="182">
        <f t="shared" si="0"/>
        <v>7.1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106847</v>
      </c>
      <c r="D21" s="182">
        <f t="shared" si="0"/>
        <v>5.0999999999999996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24910.35</v>
      </c>
      <c r="D27" s="182">
        <f t="shared" si="0"/>
        <v>1.2</v>
      </c>
    </row>
    <row r="28" spans="1:4" x14ac:dyDescent="0.2">
      <c r="B28" s="187" t="s">
        <v>723</v>
      </c>
      <c r="C28" s="180">
        <f>SUM(C10:C27)</f>
        <v>2077973.35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62959</v>
      </c>
    </row>
    <row r="30" spans="1:4" x14ac:dyDescent="0.2">
      <c r="B30" s="187" t="s">
        <v>729</v>
      </c>
      <c r="C30" s="180">
        <f>SUM(C28:C29)</f>
        <v>2140932.35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910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1115495</v>
      </c>
      <c r="D35" s="182">
        <f t="shared" ref="D35:D40" si="1">ROUND((C35/$C$41)*100,1)</f>
        <v>53.5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213727.95999999973</v>
      </c>
      <c r="D36" s="182">
        <f t="shared" si="1"/>
        <v>10.3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496078</v>
      </c>
      <c r="D37" s="182">
        <f t="shared" si="1"/>
        <v>23.8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238</v>
      </c>
      <c r="D38" s="182">
        <f t="shared" si="1"/>
        <v>0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258298</v>
      </c>
      <c r="D39" s="182">
        <f t="shared" si="1"/>
        <v>12.4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2083836.9599999997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HARRISVILLE SCHOOL DISTRICT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3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2015-10-06T12:28:19Z</cp:lastPrinted>
  <dcterms:created xsi:type="dcterms:W3CDTF">1997-12-04T19:04:30Z</dcterms:created>
  <dcterms:modified xsi:type="dcterms:W3CDTF">2015-10-06T12:29:38Z</dcterms:modified>
</cp:coreProperties>
</file>