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47" i="2" l="1"/>
  <c r="F465" i="1" l="1"/>
  <c r="F13" i="1"/>
  <c r="F495" i="1" l="1"/>
  <c r="G495" i="1"/>
  <c r="G498" i="1" s="1"/>
  <c r="H495" i="1"/>
  <c r="H498" i="1" s="1"/>
  <c r="I495" i="1"/>
  <c r="I498" i="1" s="1"/>
  <c r="J495" i="1"/>
  <c r="J498" i="1"/>
  <c r="F498" i="1"/>
  <c r="F472" i="1" l="1"/>
  <c r="G12" i="1" l="1"/>
  <c r="F12" i="1"/>
  <c r="G468" i="1"/>
  <c r="K263" i="1"/>
  <c r="G179" i="1"/>
  <c r="G439" i="1"/>
  <c r="G472" i="1"/>
  <c r="I472" i="1"/>
  <c r="H22" i="1"/>
  <c r="H465" i="1"/>
  <c r="H468" i="1"/>
  <c r="H472" i="1"/>
  <c r="H102" i="1"/>
  <c r="I604" i="1"/>
  <c r="I216" i="1"/>
  <c r="I243" i="1"/>
  <c r="H207" i="1"/>
  <c r="H225" i="1"/>
  <c r="H243" i="1"/>
  <c r="I241" i="1"/>
  <c r="G239" i="1"/>
  <c r="G221" i="1"/>
  <c r="J215" i="1"/>
  <c r="F36" i="1"/>
  <c r="F17" i="1"/>
  <c r="F665" i="1"/>
  <c r="H222" i="1" l="1"/>
  <c r="H240" i="1"/>
  <c r="H204" i="1"/>
  <c r="G236" i="1"/>
  <c r="G218" i="1"/>
  <c r="F236" i="1"/>
  <c r="F218" i="1"/>
  <c r="F9" i="1" l="1"/>
  <c r="H13" i="1"/>
  <c r="B12" i="12" l="1"/>
  <c r="B38" i="12"/>
  <c r="F468" i="1"/>
  <c r="H359" i="1"/>
  <c r="H358" i="1"/>
  <c r="H319" i="1"/>
  <c r="H298" i="1"/>
  <c r="G146" i="1" l="1"/>
  <c r="H155" i="1"/>
  <c r="G158" i="1"/>
  <c r="G132" i="1"/>
  <c r="G110" i="1"/>
  <c r="G97" i="1"/>
  <c r="F96" i="1"/>
  <c r="H244" i="1"/>
  <c r="H613" i="1" l="1"/>
  <c r="H543" i="1"/>
  <c r="H542" i="1"/>
  <c r="H541" i="1"/>
  <c r="H523" i="1"/>
  <c r="H522" i="1"/>
  <c r="H521" i="1"/>
  <c r="H360" i="1"/>
  <c r="H245" i="1"/>
  <c r="H241" i="1"/>
  <c r="H239" i="1"/>
  <c r="H238" i="1"/>
  <c r="H236" i="1"/>
  <c r="H234" i="1"/>
  <c r="H233" i="1"/>
  <c r="H227" i="1"/>
  <c r="H226" i="1"/>
  <c r="H223" i="1"/>
  <c r="H221" i="1"/>
  <c r="H220" i="1"/>
  <c r="H218" i="1"/>
  <c r="H216" i="1"/>
  <c r="H215" i="1"/>
  <c r="H209" i="1"/>
  <c r="H208" i="1"/>
  <c r="H205" i="1"/>
  <c r="H202" i="1"/>
  <c r="H198" i="1"/>
  <c r="H197" i="1"/>
  <c r="C45" i="2" l="1"/>
  <c r="G51" i="1"/>
  <c r="C37" i="10" l="1"/>
  <c r="F40" i="2" l="1"/>
  <c r="D39" i="2"/>
  <c r="G655" i="1"/>
  <c r="F48" i="2"/>
  <c r="E48" i="2"/>
  <c r="D48" i="2"/>
  <c r="C48" i="2"/>
  <c r="D47" i="2"/>
  <c r="C47" i="2"/>
  <c r="F44" i="2"/>
  <c r="E44" i="2"/>
  <c r="D44" i="2"/>
  <c r="C44" i="2"/>
  <c r="F43" i="2"/>
  <c r="E43" i="2"/>
  <c r="D43" i="2"/>
  <c r="C43" i="2"/>
  <c r="F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D29" i="13" s="1"/>
  <c r="C29" i="13" s="1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C37" i="12" s="1"/>
  <c r="C40" i="12" s="1"/>
  <c r="B40" i="12"/>
  <c r="B27" i="12"/>
  <c r="A31" i="12" s="1"/>
  <c r="C27" i="12"/>
  <c r="B31" i="12"/>
  <c r="C31" i="12"/>
  <c r="B9" i="12"/>
  <c r="B13" i="12"/>
  <c r="C9" i="12"/>
  <c r="C10" i="12" s="1"/>
  <c r="B18" i="12"/>
  <c r="B22" i="12"/>
  <c r="C18" i="12"/>
  <c r="C19" i="12" s="1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E85" i="2" s="1"/>
  <c r="H162" i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1" i="2"/>
  <c r="C112" i="2"/>
  <c r="E112" i="2"/>
  <c r="C113" i="2"/>
  <c r="E113" i="2"/>
  <c r="C114" i="2"/>
  <c r="D115" i="2"/>
  <c r="F115" i="2"/>
  <c r="G115" i="2"/>
  <c r="E120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G32" i="1"/>
  <c r="G52" i="1" s="1"/>
  <c r="H618" i="1" s="1"/>
  <c r="H32" i="1"/>
  <c r="H48" i="1" s="1"/>
  <c r="E42" i="2" s="1"/>
  <c r="I32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F461" i="1" s="1"/>
  <c r="H639" i="1" s="1"/>
  <c r="J639" i="1" s="1"/>
  <c r="G452" i="1"/>
  <c r="H452" i="1"/>
  <c r="F460" i="1"/>
  <c r="G460" i="1"/>
  <c r="H460" i="1"/>
  <c r="H461" i="1"/>
  <c r="H641" i="1" s="1"/>
  <c r="J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L570" i="1" s="1"/>
  <c r="F570" i="1"/>
  <c r="F571" i="1" s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J643" i="1" s="1"/>
  <c r="G644" i="1"/>
  <c r="G645" i="1"/>
  <c r="G651" i="1"/>
  <c r="G652" i="1"/>
  <c r="H652" i="1"/>
  <c r="G653" i="1"/>
  <c r="H653" i="1"/>
  <c r="G654" i="1"/>
  <c r="H654" i="1"/>
  <c r="H655" i="1"/>
  <c r="J655" i="1" s="1"/>
  <c r="F192" i="1"/>
  <c r="G62" i="2"/>
  <c r="D19" i="13"/>
  <c r="C19" i="13" s="1"/>
  <c r="E78" i="2"/>
  <c r="H112" i="1"/>
  <c r="I169" i="1"/>
  <c r="J140" i="1"/>
  <c r="J552" i="1"/>
  <c r="H140" i="1"/>
  <c r="F22" i="13"/>
  <c r="C22" i="13" s="1"/>
  <c r="F552" i="1"/>
  <c r="G36" i="2"/>
  <c r="H545" i="1"/>
  <c r="C121" i="2" l="1"/>
  <c r="C16" i="10"/>
  <c r="C119" i="2"/>
  <c r="K338" i="1"/>
  <c r="K352" i="1" s="1"/>
  <c r="E110" i="2"/>
  <c r="K550" i="1"/>
  <c r="L534" i="1"/>
  <c r="E131" i="2"/>
  <c r="E114" i="2"/>
  <c r="E122" i="2"/>
  <c r="E118" i="2"/>
  <c r="D17" i="13"/>
  <c r="C17" i="13" s="1"/>
  <c r="C122" i="2"/>
  <c r="D18" i="2"/>
  <c r="E119" i="2"/>
  <c r="G650" i="1"/>
  <c r="L433" i="1"/>
  <c r="I369" i="1"/>
  <c r="H634" i="1" s="1"/>
  <c r="L544" i="1"/>
  <c r="J545" i="1"/>
  <c r="I460" i="1"/>
  <c r="G257" i="1"/>
  <c r="G271" i="1" s="1"/>
  <c r="G620" i="1"/>
  <c r="I48" i="1"/>
  <c r="C132" i="2"/>
  <c r="F130" i="2"/>
  <c r="F144" i="2" s="1"/>
  <c r="F145" i="2" s="1"/>
  <c r="F78" i="2"/>
  <c r="F81" i="2" s="1"/>
  <c r="C11" i="10"/>
  <c r="L427" i="1"/>
  <c r="G192" i="1"/>
  <c r="H169" i="1"/>
  <c r="H193" i="1" s="1"/>
  <c r="G629" i="1" s="1"/>
  <c r="J629" i="1" s="1"/>
  <c r="F169" i="1"/>
  <c r="L401" i="1"/>
  <c r="C139" i="2" s="1"/>
  <c r="L393" i="1"/>
  <c r="C138" i="2" s="1"/>
  <c r="H552" i="1"/>
  <c r="G81" i="2"/>
  <c r="C13" i="12"/>
  <c r="K500" i="1"/>
  <c r="G161" i="2"/>
  <c r="G461" i="1"/>
  <c r="H640" i="1" s="1"/>
  <c r="J640" i="1"/>
  <c r="L309" i="1"/>
  <c r="H51" i="1"/>
  <c r="G624" i="1" s="1"/>
  <c r="G617" i="1"/>
  <c r="A13" i="12"/>
  <c r="J645" i="1"/>
  <c r="G164" i="2"/>
  <c r="G157" i="2"/>
  <c r="G156" i="2"/>
  <c r="D91" i="2"/>
  <c r="E103" i="2"/>
  <c r="D81" i="2"/>
  <c r="E31" i="2"/>
  <c r="F18" i="2"/>
  <c r="F476" i="1"/>
  <c r="H622" i="1" s="1"/>
  <c r="G476" i="1"/>
  <c r="H623" i="1" s="1"/>
  <c r="J623" i="1" s="1"/>
  <c r="D31" i="2"/>
  <c r="D51" i="2" s="1"/>
  <c r="I452" i="1"/>
  <c r="I461" i="1" s="1"/>
  <c r="H642" i="1" s="1"/>
  <c r="J642" i="1" s="1"/>
  <c r="L328" i="1"/>
  <c r="C10" i="10"/>
  <c r="F338" i="1"/>
  <c r="F352" i="1" s="1"/>
  <c r="H338" i="1"/>
  <c r="H352" i="1" s="1"/>
  <c r="G338" i="1"/>
  <c r="G352" i="1" s="1"/>
  <c r="C18" i="2"/>
  <c r="J476" i="1"/>
  <c r="H626" i="1" s="1"/>
  <c r="I476" i="1"/>
  <c r="H625" i="1" s="1"/>
  <c r="H476" i="1"/>
  <c r="H624" i="1" s="1"/>
  <c r="E62" i="2"/>
  <c r="E63" i="2" s="1"/>
  <c r="C70" i="2"/>
  <c r="C81" i="2" s="1"/>
  <c r="F112" i="1"/>
  <c r="J634" i="1"/>
  <c r="J651" i="1"/>
  <c r="K598" i="1"/>
  <c r="G647" i="1" s="1"/>
  <c r="L560" i="1"/>
  <c r="L571" i="1" s="1"/>
  <c r="I545" i="1"/>
  <c r="K551" i="1"/>
  <c r="K545" i="1"/>
  <c r="G545" i="1"/>
  <c r="K549" i="1"/>
  <c r="G661" i="1"/>
  <c r="L362" i="1"/>
  <c r="H661" i="1"/>
  <c r="C26" i="10"/>
  <c r="L256" i="1"/>
  <c r="C13" i="10"/>
  <c r="I257" i="1"/>
  <c r="I271" i="1" s="1"/>
  <c r="C21" i="10"/>
  <c r="C20" i="10"/>
  <c r="J257" i="1"/>
  <c r="J271" i="1" s="1"/>
  <c r="C118" i="2"/>
  <c r="L229" i="1"/>
  <c r="E16" i="13"/>
  <c r="C16" i="13" s="1"/>
  <c r="D14" i="13"/>
  <c r="C14" i="13" s="1"/>
  <c r="C18" i="10"/>
  <c r="A40" i="12"/>
  <c r="F257" i="1"/>
  <c r="F271" i="1" s="1"/>
  <c r="C12" i="10"/>
  <c r="D5" i="13"/>
  <c r="C5" i="13" s="1"/>
  <c r="C17" i="10"/>
  <c r="D7" i="13"/>
  <c r="C7" i="13" s="1"/>
  <c r="L270" i="1"/>
  <c r="L247" i="1"/>
  <c r="K257" i="1"/>
  <c r="K271" i="1" s="1"/>
  <c r="H257" i="1"/>
  <c r="H271" i="1" s="1"/>
  <c r="L211" i="1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E109" i="2"/>
  <c r="E115" i="2" s="1"/>
  <c r="C62" i="2"/>
  <c r="F661" i="1"/>
  <c r="C19" i="10"/>
  <c r="C15" i="10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F193" i="1" s="1"/>
  <c r="G627" i="1" s="1"/>
  <c r="J627" i="1" s="1"/>
  <c r="G63" i="2"/>
  <c r="J618" i="1"/>
  <c r="G42" i="2"/>
  <c r="G50" i="2" s="1"/>
  <c r="J51" i="1"/>
  <c r="G16" i="2"/>
  <c r="J19" i="1"/>
  <c r="G621" i="1" s="1"/>
  <c r="F33" i="13"/>
  <c r="G18" i="2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E128" i="2" l="1"/>
  <c r="E145" i="2" s="1"/>
  <c r="L338" i="1"/>
  <c r="L352" i="1" s="1"/>
  <c r="G633" i="1" s="1"/>
  <c r="J633" i="1" s="1"/>
  <c r="C39" i="10"/>
  <c r="L545" i="1"/>
  <c r="C36" i="10"/>
  <c r="G660" i="1"/>
  <c r="G664" i="1" s="1"/>
  <c r="G667" i="1" s="1"/>
  <c r="F47" i="2"/>
  <c r="F50" i="2" s="1"/>
  <c r="F51" i="2" s="1"/>
  <c r="I51" i="1"/>
  <c r="H52" i="1"/>
  <c r="H619" i="1" s="1"/>
  <c r="J619" i="1" s="1"/>
  <c r="J624" i="1"/>
  <c r="F51" i="1"/>
  <c r="C49" i="2"/>
  <c r="C50" i="2" s="1"/>
  <c r="C51" i="2" s="1"/>
  <c r="G51" i="2"/>
  <c r="D104" i="2"/>
  <c r="D31" i="13"/>
  <c r="C31" i="13" s="1"/>
  <c r="F104" i="2"/>
  <c r="E104" i="2"/>
  <c r="C63" i="2"/>
  <c r="C104" i="2" s="1"/>
  <c r="H646" i="1"/>
  <c r="J646" i="1" s="1"/>
  <c r="G104" i="2"/>
  <c r="J647" i="1"/>
  <c r="K552" i="1"/>
  <c r="I661" i="1"/>
  <c r="H648" i="1"/>
  <c r="J648" i="1" s="1"/>
  <c r="F660" i="1"/>
  <c r="F664" i="1" s="1"/>
  <c r="L257" i="1"/>
  <c r="L271" i="1" s="1"/>
  <c r="G632" i="1" s="1"/>
  <c r="J632" i="1" s="1"/>
  <c r="H660" i="1"/>
  <c r="H664" i="1" s="1"/>
  <c r="H672" i="1" s="1"/>
  <c r="C6" i="10" s="1"/>
  <c r="C128" i="2"/>
  <c r="C145" i="2" s="1"/>
  <c r="C25" i="13"/>
  <c r="H33" i="13"/>
  <c r="C28" i="10"/>
  <c r="D24" i="10" s="1"/>
  <c r="E33" i="13"/>
  <c r="D35" i="13" s="1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25" i="1" l="1"/>
  <c r="J625" i="1" s="1"/>
  <c r="I52" i="1"/>
  <c r="H620" i="1" s="1"/>
  <c r="J620" i="1" s="1"/>
  <c r="G622" i="1"/>
  <c r="J622" i="1" s="1"/>
  <c r="F52" i="1"/>
  <c r="H617" i="1" s="1"/>
  <c r="J617" i="1" s="1"/>
  <c r="G672" i="1"/>
  <c r="C5" i="10" s="1"/>
  <c r="I660" i="1"/>
  <c r="I664" i="1" s="1"/>
  <c r="I672" i="1" s="1"/>
  <c r="C7" i="10" s="1"/>
  <c r="H667" i="1"/>
  <c r="D20" i="10"/>
  <c r="D23" i="10"/>
  <c r="D10" i="10"/>
  <c r="C30" i="10"/>
  <c r="D25" i="10"/>
  <c r="D26" i="10"/>
  <c r="D16" i="10"/>
  <c r="D27" i="10"/>
  <c r="D15" i="10"/>
  <c r="D19" i="10"/>
  <c r="D13" i="10"/>
  <c r="D11" i="10"/>
  <c r="D21" i="10"/>
  <c r="D22" i="10"/>
  <c r="D18" i="10"/>
  <c r="D17" i="10"/>
  <c r="D12" i="10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<sst xmlns="http://schemas.openxmlformats.org/spreadsheetml/2006/main" count="3965" uniqueCount="922">
  <si>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</si>
  <si>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</si>
  <si>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</si>
  <si>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</si>
  <si>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</si>
  <si>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</si>
  <si>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</si>
  <si>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</si>
  <si>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</si>
  <si>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</si>
  <si>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</si>
  <si>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</si>
  <si>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</si>
  <si>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</si>
  <si>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</si>
  <si>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</si>
  <si>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</si>
  <si>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</si>
  <si>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</si>
  <si>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</si>
  <si>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</si>
  <si>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</si>
  <si>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</si>
  <si>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</si>
  <si>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</si>
  <si>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</si>
  <si>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</si>
  <si>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</si>
  <si>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</si>
  <si>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</si>
  <si>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</si>
  <si>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</si>
  <si>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</si>
  <si>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</si>
  <si>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</si>
  <si>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</si>
  <si>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</si>
  <si>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</si>
  <si>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</si>
  <si>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</si>
  <si>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</si>
  <si>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</si>
  <si>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</si>
  <si>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</si>
  <si>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</si>
  <si>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</si>
  <si>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</si>
  <si>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</si>
  <si>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</si>
  <si>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</si>
  <si>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</si>
  <si>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</si>
  <si>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</si>
  <si>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</si>
  <si>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</si>
  <si>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</si>
  <si>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</si>
  <si>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</si>
  <si>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</si>
  <si>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</si>
  <si>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</si>
  <si>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</si>
  <si>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</si>
  <si>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</si>
  <si>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</si>
  <si>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</si>
  <si>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</si>
  <si>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</si>
  <si>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</si>
  <si>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</si>
  <si>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</si>
  <si>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</si>
  <si>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</si>
  <si>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</si>
  <si>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</si>
  <si>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</si>
  <si>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</si>
  <si>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</si>
  <si>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</si>
  <si>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</si>
  <si>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</si>
  <si>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</si>
  <si>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</si>
  <si>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</si>
  <si>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</si>
  <si>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</si>
  <si>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</si>
  <si>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</si>
  <si>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</si>
  <si>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</si>
  <si>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</si>
  <si>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</si>
  <si>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</si>
  <si>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</si>
  <si>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</si>
  <si>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</si>
  <si>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</si>
  <si>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</si>
  <si>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</si>
  <si>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</si>
  <si>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</si>
  <si>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</si>
  <si>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</si>
  <si>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</si>
  <si>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</si>
  <si>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</si>
  <si>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</si>
  <si>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</si>
  <si>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</si>
  <si>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</si>
  <si>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</si>
  <si>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</si>
  <si>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</si>
  <si>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</si>
  <si>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</si>
  <si>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</si>
  <si>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</si>
  <si>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</si>
  <si>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</si>
  <si>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</si>
  <si>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</si>
  <si>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</si>
  <si>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</si>
  <si>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</si>
  <si>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</si>
  <si>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</si>
  <si>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</si>
  <si>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</si>
  <si>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</si>
  <si>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</si>
  <si>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</si>
  <si>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</si>
  <si>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</si>
  <si>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</si>
  <si>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</si>
  <si>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</si>
  <si>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</si>
  <si>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</si>
  <si>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</si>
  <si>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</si>
  <si>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</si>
  <si>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</si>
  <si>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</si>
  <si>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</si>
  <si>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</si>
  <si>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</si>
  <si>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</si>
  <si>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</si>
  <si>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</si>
  <si>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</si>
  <si>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</si>
  <si>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</si>
  <si>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</si>
  <si>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</si>
  <si>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</si>
  <si>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</si>
  <si>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</si>
  <si>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</si>
  <si>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</si>
  <si>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</si>
  <si>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</si>
  <si>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</si>
  <si>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</si>
  <si>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</si>
  <si>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</si>
  <si>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</si>
  <si>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</si>
  <si>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</si>
  <si>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</si>
  <si>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</si>
  <si>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</si>
  <si>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</si>
  <si>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</si>
  <si>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</si>
  <si>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</si>
  <si>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</si>
  <si>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</si>
  <si>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</si>
  <si>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</si>
  <si>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</si>
  <si>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</si>
  <si>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</si>
  <si>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</si>
  <si>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</si>
  <si>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</si>
  <si>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</si>
  <si>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</si>
  <si>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</si>
  <si>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</si>
  <si>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</si>
  <si>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</si>
  <si>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</si>
  <si>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</si>
  <si>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</si>
  <si>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</si>
  <si>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</si>
  <si>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</si>
  <si>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</si>
  <si>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</si>
  <si>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</si>
  <si>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</si>
  <si>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</si>
  <si>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</si>
  <si>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</si>
  <si>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</si>
  <si>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</si>
  <si>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</si>
  <si>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</si>
  <si>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</si>
  <si>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</si>
  <si>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</si>
  <si>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</si>
  <si>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</si>
  <si>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</si>
  <si>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</si>
  <si>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</si>
  <si>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</si>
  <si>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</si>
  <si>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</si>
  <si>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</si>
  <si>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</si>
  <si>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</si>
  <si>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</si>
  <si>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</si>
  <si>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</si>
  <si>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</si>
  <si>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</si>
  <si>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</si>
  <si>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</si>
  <si>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</si>
  <si>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</si>
  <si>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</si>
  <si>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</si>
  <si>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</si>
  <si>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</si>
  <si>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</si>
  <si>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</si>
  <si>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</si>
  <si>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</si>
  <si>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</si>
  <si>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</si>
  <si>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</si>
  <si>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</si>
  <si>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</si>
  <si>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</si>
  <si>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</si>
  <si>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</si>
  <si>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</si>
  <si>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</si>
  <si>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</si>
  <si>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</si>
  <si>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</si>
  <si>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</si>
  <si>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</si>
  <si>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</si>
  <si>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</si>
  <si>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</si>
  <si>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</si>
  <si>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</si>
  <si>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</si>
  <si>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</si>
  <si>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</si>
  <si>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</si>
  <si>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</si>
  <si>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</si>
  <si>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</si>
  <si>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</si>
  <si>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</si>
  <si>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</si>
  <si>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</si>
  <si>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</si>
  <si>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</si>
  <si>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</si>
  <si>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</si>
  <si>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</si>
  <si>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</si>
  <si>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</si>
  <si>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</si>
  <si>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</si>
  <si>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</si>
  <si>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</si>
  <si>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</si>
  <si>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</si>
  <si>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</si>
  <si>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</si>
  <si>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</si>
  <si>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</si>
  <si>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</si>
  <si>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</si>
  <si>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</si>
  <si>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</si>
  <si>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</si>
  <si>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</si>
  <si>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</si>
  <si>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</si>
  <si>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</si>
  <si>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</si>
  <si>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</si>
  <si>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</si>
  <si>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</si>
  <si>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</si>
  <si>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</si>
  <si>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</si>
  <si>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</si>
  <si>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</si>
  <si>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</si>
  <si>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</si>
  <si>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</si>
  <si>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</si>
  <si>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</si>
  <si>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</si>
  <si>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</si>
  <si>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</si>
  <si>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</si>
  <si>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</si>
  <si>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</si>
  <si>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</si>
  <si>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</si>
  <si>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</si>
  <si>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</si>
  <si>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</si>
  <si>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</si>
  <si>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</si>
  <si>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</si>
  <si>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</si>
  <si>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</si>
  <si>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</si>
  <si>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</si>
  <si>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</si>
  <si>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</si>
  <si>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</si>
  <si>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</si>
  <si>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</si>
  <si>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</si>
  <si>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</si>
  <si>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</si>
  <si>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</si>
  <si>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</si>
  <si>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</si>
  <si>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</si>
  <si>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</si>
  <si>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</si>
  <si>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</si>
  <si>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</si>
  <si>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</si>
  <si>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</si>
  <si>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</si>
  <si>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</si>
  <si>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</si>
  <si>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</si>
  <si>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</si>
  <si>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</si>
  <si>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</si>
  <si>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</si>
  <si>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</si>
  <si>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</si>
  <si>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</si>
  <si>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</si>
  <si>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</si>
  <si>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</si>
  <si>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</si>
  <si>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</si>
  <si>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</si>
  <si>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</si>
  <si>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</si>
  <si>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</si>
  <si>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</si>
  <si>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</si>
  <si>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</si>
  <si>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</si>
  <si>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</si>
  <si>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</si>
  <si>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</si>
  <si>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</si>
  <si>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</si>
  <si>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</si>
  <si>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</si>
  <si>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</si>
  <si>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</si>
  <si>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</si>
  <si>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</si>
  <si>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</si>
  <si>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</si>
  <si>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</si>
  <si>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</si>
  <si>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</si>
  <si>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</si>
  <si>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</si>
  <si>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</si>
  <si>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</si>
  <si>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</si>
  <si>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</si>
  <si>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</si>
  <si>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</si>
  <si>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</si>
  <si>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</si>
  <si>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</si>
  <si>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</si>
  <si>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</si>
  <si>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</si>
  <si>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</si>
  <si>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</si>
  <si>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</si>
  <si>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</si>
  <si>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</si>
  <si>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</si>
  <si>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</si>
  <si>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</si>
  <si>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</si>
  <si>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</si>
  <si>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</si>
  <si>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</si>
  <si>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</si>
  <si>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</si>
  <si>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</si>
  <si>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</si>
  <si>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</si>
  <si>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</si>
  <si>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</si>
  <si>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</si>
  <si>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</si>
  <si>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</si>
  <si>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</si>
  <si>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</si>
  <si>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</si>
  <si>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</si>
  <si>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</si>
  <si>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</si>
  <si>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</si>
  <si>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</si>
  <si>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</si>
  <si>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</si>
  <si>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</si>
  <si>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</si>
  <si>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</si>
  <si>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</si>
  <si>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</si>
  <si>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</si>
  <si>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</si>
  <si>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</si>
  <si>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</si>
  <si>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</si>
  <si>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</si>
  <si>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</si>
  <si>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</si>
  <si>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</si>
  <si>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</si>
  <si>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</si>
  <si>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</si>
  <si>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</si>
  <si>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</si>
  <si>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</si>
  <si>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</si>
  <si>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</si>
  <si>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</si>
  <si>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</si>
  <si>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</si>
  <si>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</si>
  <si>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</si>
  <si>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</si>
  <si>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</si>
  <si>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</si>
  <si>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</si>
  <si>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</si>
  <si>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</si>
  <si>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</si>
  <si>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</si>
  <si>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</si>
  <si>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</si>
  <si>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</si>
  <si>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</si>
  <si>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</si>
  <si>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</si>
  <si>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</si>
  <si>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</si>
  <si>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</si>
  <si>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</si>
  <si>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</si>
  <si>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</si>
  <si>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</si>
  <si>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</si>
  <si>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</si>
  <si>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</si>
  <si>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</si>
  <si>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</si>
  <si>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</si>
  <si>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</si>
  <si>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</si>
  <si>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</si>
  <si>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</si>
  <si>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</si>
  <si>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</si>
  <si>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</si>
  <si>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</si>
  <si>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</si>
  <si>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</si>
  <si>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</si>
  <si>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</si>
  <si>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</si>
  <si>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</si>
  <si>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</si>
  <si>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</si>
  <si>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</si>
  <si>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</si>
  <si>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</si>
  <si>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</si>
  <si>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</si>
  <si>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</si>
  <si>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</si>
  <si>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</si>
  <si>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</si>
  <si>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</si>
  <si>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</si>
  <si>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</si>
  <si>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</si>
  <si>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</si>
  <si>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</si>
  <si>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</si>
  <si>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</si>
  <si>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</si>
  <si>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</si>
  <si>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</si>
  <si>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</si>
  <si>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</si>
  <si>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</si>
  <si>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</si>
  <si>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</si>
  <si>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</si>
  <si>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</si>
  <si>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</si>
  <si>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</si>
  <si>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</si>
  <si>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</si>
  <si>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</si>
  <si>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</si>
  <si>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</si>
  <si>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</si>
  <si>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</si>
  <si>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</si>
  <si>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</si>
  <si>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</si>
  <si>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</si>
  <si>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</si>
  <si>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</si>
  <si>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</si>
  <si>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</si>
  <si>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</si>
  <si>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</si>
  <si>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</si>
  <si>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</si>
  <si>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</si>
  <si>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</si>
  <si>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</si>
  <si>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</si>
  <si>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</si>
  <si>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</si>
  <si>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</si>
  <si>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</si>
  <si>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</si>
  <si>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</si>
  <si>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</si>
  <si>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</si>
  <si>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</si>
  <si>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</si>
  <si>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</si>
  <si>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</si>
  <si>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</si>
  <si>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</si>
  <si>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</si>
  <si>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</si>
  <si>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</si>
  <si>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</si>
  <si>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</si>
  <si>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</si>
  <si>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</si>
  <si>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</si>
  <si>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</si>
  <si>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</si>
  <si>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</si>
  <si>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</si>
  <si>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</si>
  <si>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</si>
  <si>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</si>
  <si>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</si>
  <si>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</si>
  <si>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</si>
  <si>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</si>
  <si>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</si>
  <si>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</si>
  <si>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</si>
  <si>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</si>
  <si>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</si>
  <si>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</si>
  <si>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</si>
  <si>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</si>
  <si>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</si>
  <si>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</si>
  <si>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</si>
  <si>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</si>
  <si>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</si>
  <si>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</si>
  <si>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</si>
  <si>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</si>
  <si>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</si>
  <si>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</si>
  <si>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</si>
  <si>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</si>
  <si>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</si>
  <si>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</si>
  <si>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</si>
  <si>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</si>
  <si>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</si>
  <si>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</si>
  <si>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</si>
  <si>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</si>
  <si>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</si>
  <si>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</si>
  <si>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</si>
  <si>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</si>
  <si>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</si>
  <si>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</si>
  <si>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</si>
  <si>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</si>
  <si>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</si>
  <si>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</si>
  <si>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</si>
  <si>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</si>
  <si>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</si>
  <si>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</si>
  <si>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</si>
  <si>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</si>
  <si>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</si>
  <si>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</si>
  <si>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</si>
  <si>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</si>
  <si>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</si>
  <si>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</si>
  <si>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</si>
  <si>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</si>
  <si>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</si>
  <si>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</si>
  <si>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</si>
  <si>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</si>
  <si>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</si>
  <si>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</si>
  <si>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</si>
  <si>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</si>
  <si>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</si>
  <si>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</si>
  <si>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</si>
  <si>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</si>
  <si>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</si>
  <si>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</si>
  <si>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</si>
  <si>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</si>
  <si>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</si>
  <si>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</si>
  <si>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</si>
  <si>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</si>
  <si>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</si>
  <si>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</si>
  <si>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</si>
  <si>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</si>
  <si>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</si>
  <si>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</si>
  <si>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</si>
  <si>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</si>
  <si>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</si>
  <si>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</si>
  <si>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</si>
  <si>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</si>
  <si>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</si>
  <si>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</si>
  <si>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</si>
  <si>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</si>
  <si>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</si>
  <si>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</si>
  <si>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</si>
  <si>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</si>
  <si>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</si>
  <si>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</si>
  <si>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</si>
  <si>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</si>
  <si>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</si>
  <si>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</si>
  <si>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</si>
  <si>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</si>
  <si>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</si>
  <si>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</si>
  <si>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</si>
  <si>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</si>
  <si>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</si>
  <si>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</si>
  <si>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</si>
  <si>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</si>
  <si>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</si>
  <si>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</si>
  <si>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</si>
  <si>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</si>
  <si>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</si>
  <si>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</si>
  <si>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</si>
  <si>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</si>
  <si>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</si>
  <si>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</si>
  <si>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</si>
  <si>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</si>
  <si>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</si>
  <si>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</si>
  <si>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</si>
  <si>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</si>
  <si>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</si>
  <si>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</si>
  <si>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</si>
  <si>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</si>
  <si>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</si>
  <si>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</si>
  <si>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</si>
  <si>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</si>
  <si>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</si>
  <si>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</si>
  <si>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</si>
  <si>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</si>
  <si>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</si>
  <si>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</si>
  <si>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</si>
  <si>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</si>
  <si>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</si>
  <si>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</si>
  <si>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</si>
  <si>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</si>
  <si>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</si>
  <si>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</si>
  <si>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</si>
  <si>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</si>
  <si>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</si>
  <si>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</si>
  <si>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</si>
  <si>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</si>
  <si>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</si>
  <si>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</si>
  <si>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</si>
  <si>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</si>
  <si>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</si>
  <si>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</si>
  <si>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</si>
  <si>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</si>
  <si>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</si>
  <si>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</si>
  <si>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</si>
  <si>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</si>
  <si>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</si>
  <si>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</si>
  <si>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</si>
  <si>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</si>
  <si>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</si>
  <si>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</si>
  <si>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</si>
  <si>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</si>
  <si>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</si>
  <si>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</si>
  <si>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</si>
  <si>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</si>
  <si>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</si>
  <si>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</si>
  <si>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</si>
  <si>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</si>
  <si>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</si>
  <si>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</si>
  <si>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</si>
  <si>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</si>
  <si>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</si>
  <si>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</si>
  <si>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</si>
  <si>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</si>
  <si>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</si>
  <si>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</si>
  <si>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</si>
  <si>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</si>
  <si>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</si>
  <si>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</si>
  <si>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</si>
  <si>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</si>
  <si>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</si>
  <si>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</si>
  <si>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</si>
  <si>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</si>
  <si>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</si>
  <si>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</si>
  <si>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</si>
  <si>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</si>
  <si>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</si>
  <si>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</si>
  <si>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</si>
  <si>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</si>
  <si>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</si>
  <si>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</si>
  <si>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</si>
  <si>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</si>
  <si>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</si>
  <si>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</si>
  <si>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</si>
  <si>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</si>
  <si>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</si>
  <si>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</si>
  <si>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</si>
  <si>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</si>
  <si>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</si>
  <si>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</si>
  <si>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</si>
  <si>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</si>
  <si>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</si>
  <si>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</si>
  <si>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</si>
  <si>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</si>
  <si>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</si>
  <si>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</si>
  <si>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</si>
  <si>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</si>
  <si>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</si>
  <si>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</si>
  <si>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</si>
  <si>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</si>
  <si>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</si>
  <si>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</si>
  <si>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</si>
  <si>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</si>
  <si>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</si>
  <si>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</si>
  <si>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</si>
  <si>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</si>
  <si>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</si>
  <si>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</si>
  <si>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</si>
  <si>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</si>
  <si>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</si>
  <si>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</si>
  <si>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</si>
  <si>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</si>
  <si>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</si>
  <si>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</si>
  <si>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</si>
  <si>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</si>
  <si>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</si>
  <si>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</si>
  <si>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</si>
  <si>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</si>
  <si>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</si>
  <si>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</si>
  <si>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</si>
  <si>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</si>
  <si>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</si>
  <si>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</si>
  <si>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</si>
  <si>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</si>
  <si>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</si>
  <si>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</si>
  <si>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</si>
  <si>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</si>
  <si>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</si>
  <si>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</si>
  <si>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</si>
  <si>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</si>
  <si>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</si>
  <si>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</si>
  <si>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</si>
  <si>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</si>
  <si>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</si>
  <si>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</si>
  <si>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</si>
  <si>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</si>
  <si>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</si>
  <si>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</si>
  <si>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</si>
  <si>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</si>
  <si>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</si>
  <si>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</si>
  <si>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</si>
  <si>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</si>
  <si>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</si>
  <si>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</si>
  <si>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</si>
  <si>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</si>
  <si>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</si>
  <si>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</si>
  <si>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</si>
  <si>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</si>
  <si>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</si>
  <si>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</si>
  <si>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</si>
  <si>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</si>
  <si>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</si>
  <si>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</si>
  <si>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</si>
  <si>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</si>
  <si>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</si>
  <si>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</si>
  <si>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</si>
  <si>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</si>
  <si>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</si>
  <si>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</si>
  <si>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</si>
  <si>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</si>
  <si>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</si>
  <si>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</si>
  <si>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</si>
  <si>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</si>
  <si>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</si>
  <si>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</si>
  <si>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</si>
  <si>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</si>
  <si>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Haverhill</t>
  </si>
  <si>
    <t>8/21/03</t>
  </si>
  <si>
    <t>7/6/2005</t>
  </si>
  <si>
    <t>3/2/2009</t>
  </si>
  <si>
    <t>11/2008</t>
  </si>
  <si>
    <t>2/2012</t>
  </si>
  <si>
    <t>8/21/18</t>
  </si>
  <si>
    <t>7/5/2021</t>
  </si>
  <si>
    <t>3/1/2019</t>
  </si>
  <si>
    <t>11/2022</t>
  </si>
  <si>
    <t>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</si>
</sst>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10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337721.48+550</f>
        <v>338271.48</v>
      </c>
      <c r="G9" s="18"/>
      <c r="H9" s="18"/>
      <c r="I9" s="18"/>
      <c r="J9" s="67">
        <f>SUM(I439)</f>
        <v>415216.64000000001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79963.5-14700.7-650</f>
        <v>64612.800000000003</v>
      </c>
      <c r="G12" s="18">
        <f>11441.9</f>
        <v>11441.9</v>
      </c>
      <c r="H12" s="18"/>
      <c r="I12" s="18">
        <v>66902.570000000007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288101.03-198325.6</f>
        <v>89775.430000000022</v>
      </c>
      <c r="G13" s="18">
        <v>12502.63</v>
      </c>
      <c r="H13" s="18">
        <f>151707.54</f>
        <v>151707.54</v>
      </c>
      <c r="I13" s="18">
        <v>8065.12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12887.45+18596.03</f>
        <v>31483.48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524173.18999999994</v>
      </c>
      <c r="G19" s="41">
        <f>SUM(G9:G18)</f>
        <v>23944.53</v>
      </c>
      <c r="H19" s="41">
        <f>SUM(H9:H18)</f>
        <v>151707.54</v>
      </c>
      <c r="I19" s="41">
        <f>SUM(I9:I18)</f>
        <v>74967.69</v>
      </c>
      <c r="J19" s="41">
        <f>SUM(J9:J18)</f>
        <v>415216.64000000001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0</v>
      </c>
      <c r="H22" s="18">
        <f>123295.83-1779.56</f>
        <v>121516.27</v>
      </c>
      <c r="I22" s="18"/>
      <c r="J22" s="67">
        <f>SUM(I448)</f>
        <v>21441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162028.21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21694.89</v>
      </c>
      <c r="H24" s="18"/>
      <c r="I24" s="18">
        <v>889.5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>
        <v>2249.64</v>
      </c>
      <c r="H29" s="18">
        <v>16266.8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4873.22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162028.21</v>
      </c>
      <c r="G32" s="41">
        <f>SUM(G22:G31)</f>
        <v>23944.53</v>
      </c>
      <c r="H32" s="41">
        <f>SUM(H22:H31)</f>
        <v>142656.29</v>
      </c>
      <c r="I32" s="41">
        <f>SUM(I22:I31)</f>
        <v>889.5</v>
      </c>
      <c r="J32" s="41">
        <f>SUM(J22:J31)</f>
        <v>21441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12887.45+18596.03</f>
        <v>31483.48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4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168451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f>H19-H32-H49</f>
        <v>8976.25</v>
      </c>
      <c r="I48" s="18">
        <f>I19-I32-I49</f>
        <v>74078.19</v>
      </c>
      <c r="J48" s="13">
        <f>SUM(I459)</f>
        <v>393775.64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12636</v>
      </c>
      <c r="G49" s="18"/>
      <c r="H49" s="18">
        <v>75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49574.5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362144.98</v>
      </c>
      <c r="G51" s="41">
        <f>SUM(G35:G50)</f>
        <v>0</v>
      </c>
      <c r="H51" s="41">
        <f>SUM(H35:H50)</f>
        <v>9051.25</v>
      </c>
      <c r="I51" s="41">
        <f>SUM(I35:I50)</f>
        <v>74078.19</v>
      </c>
      <c r="J51" s="41">
        <f>SUM(J35:J50)</f>
        <v>393775.64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524173.18999999994</v>
      </c>
      <c r="G52" s="41">
        <f>G51+G32</f>
        <v>23944.53</v>
      </c>
      <c r="H52" s="41">
        <f>H51+H32</f>
        <v>151707.54</v>
      </c>
      <c r="I52" s="41">
        <f>I51+I32</f>
        <v>74967.69</v>
      </c>
      <c r="J52" s="41">
        <f>J51+J32</f>
        <v>415216.64000000001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5924194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5924194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1823.35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24325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1066022.18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119955.95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1212126.48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1174.57+33314.25</f>
        <v>34488.82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26658.58+48716.48+39612.89</f>
        <v>114987.95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2495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9520.92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9366+150.84+3789.52+8499.99+55657.46+620+2356+830</f>
        <v>81269.81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11914.74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26294.09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33040.720000000001</v>
      </c>
      <c r="G110" s="18">
        <f>448.5+2126.5+1248.6</f>
        <v>3823.6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117754.29</v>
      </c>
      <c r="G111" s="41">
        <f>SUM(G96:G110)</f>
        <v>118811.55</v>
      </c>
      <c r="H111" s="41">
        <f>SUM(H96:H110)</f>
        <v>81269.81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7254074.7700000005</v>
      </c>
      <c r="G112" s="41">
        <f>G60+G111</f>
        <v>118811.55</v>
      </c>
      <c r="H112" s="41">
        <f>H60+H79+H94+H111</f>
        <v>81269.81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4104789.9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813862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4918651.9000000004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191672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114313.5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98165.3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13409.6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6364.51+9471.06+11842.72</f>
        <v>27678.29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417560.39999999997</v>
      </c>
      <c r="G136" s="41">
        <f>SUM(G123:G135)</f>
        <v>27678.29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5336212.3000000007</v>
      </c>
      <c r="G140" s="41">
        <f>G121+SUM(G136:G137)</f>
        <v>27678.29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f>9967.64+12839.79</f>
        <v>22807.43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22807.43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230952.67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14519.28+60862.36+54300.78</f>
        <v>129682.42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38504.6+49733+31195.09</f>
        <v>119432.69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360405.41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360405.41</v>
      </c>
      <c r="G162" s="41">
        <f>SUM(G150:G161)</f>
        <v>119432.69</v>
      </c>
      <c r="H162" s="41">
        <f>SUM(H150:H161)</f>
        <v>360635.09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1728.74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362134.14999999997</v>
      </c>
      <c r="G169" s="41">
        <f>G147+G162+SUM(G163:G168)</f>
        <v>142240.12</v>
      </c>
      <c r="H169" s="41">
        <f>H147+H162+SUM(H163:H168)</f>
        <v>360635.09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268213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268213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64252.14-28482.67+650</f>
        <v>36419.47</v>
      </c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>
        <v>0</v>
      </c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36419.47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36419.47</v>
      </c>
      <c r="H192" s="41">
        <f>+H183+SUM(H188:H191)</f>
        <v>0</v>
      </c>
      <c r="I192" s="41">
        <f>I177+I183+SUM(I188:I191)</f>
        <v>268213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12952421.220000001</v>
      </c>
      <c r="G193" s="47">
        <f>G112+G140+G169+G192</f>
        <v>325149.42999999993</v>
      </c>
      <c r="H193" s="47">
        <f>H112+H140+H169+H192</f>
        <v>441904.9</v>
      </c>
      <c r="I193" s="47">
        <f>I112+I140+I169+I192</f>
        <v>268213</v>
      </c>
      <c r="J193" s="47">
        <f>J112+J140+J192</f>
        <v>75000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771139.18</v>
      </c>
      <c r="G197" s="18">
        <v>296230.95</v>
      </c>
      <c r="H197" s="18">
        <f>55121.13+313.2</f>
        <v>55434.329999999994</v>
      </c>
      <c r="I197" s="18">
        <v>42441.03</v>
      </c>
      <c r="J197" s="18">
        <v>2872.05</v>
      </c>
      <c r="K197" s="18">
        <v>2182.48</v>
      </c>
      <c r="L197" s="19">
        <f>SUM(F197:K197)</f>
        <v>1170300.0200000003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345413.12</v>
      </c>
      <c r="G198" s="18">
        <v>151963.28</v>
      </c>
      <c r="H198" s="18">
        <f>39025.83+474.43</f>
        <v>39500.26</v>
      </c>
      <c r="I198" s="18">
        <v>3644.16</v>
      </c>
      <c r="J198" s="18">
        <v>655</v>
      </c>
      <c r="K198" s="18">
        <v>134.65</v>
      </c>
      <c r="L198" s="19">
        <f>SUM(F198:K198)</f>
        <v>541310.47000000009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12598.15</v>
      </c>
      <c r="G200" s="18">
        <v>3764.35</v>
      </c>
      <c r="H200" s="18"/>
      <c r="I200" s="18">
        <v>30.32</v>
      </c>
      <c r="J200" s="18"/>
      <c r="K200" s="18"/>
      <c r="L200" s="19">
        <f>SUM(F200:K200)</f>
        <v>16392.82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145408.79999999999</v>
      </c>
      <c r="G202" s="18">
        <v>59777.99</v>
      </c>
      <c r="H202" s="18">
        <f>127323.44+1610.74+338.5</f>
        <v>129272.68000000001</v>
      </c>
      <c r="I202" s="18">
        <v>5441.45</v>
      </c>
      <c r="J202" s="18">
        <v>59.99</v>
      </c>
      <c r="K202" s="18"/>
      <c r="L202" s="19">
        <f t="shared" ref="L202:L208" si="0">SUM(F202:K202)</f>
        <v>339960.91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20580.43</v>
      </c>
      <c r="G203" s="18">
        <v>17226.759999999998</v>
      </c>
      <c r="H203" s="18">
        <v>14952.59</v>
      </c>
      <c r="I203" s="18">
        <v>2449.94</v>
      </c>
      <c r="J203" s="18"/>
      <c r="K203" s="18"/>
      <c r="L203" s="19">
        <f t="shared" si="0"/>
        <v>55209.72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3383.61</v>
      </c>
      <c r="G204" s="18">
        <v>294.70999999999998</v>
      </c>
      <c r="H204" s="18">
        <f>193715.52+11214.94</f>
        <v>204930.46</v>
      </c>
      <c r="I204" s="18">
        <v>903.72</v>
      </c>
      <c r="J204" s="18"/>
      <c r="K204" s="18">
        <v>1169.51</v>
      </c>
      <c r="L204" s="19">
        <f t="shared" si="0"/>
        <v>210682.01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122704.88</v>
      </c>
      <c r="G205" s="18">
        <v>49418.07</v>
      </c>
      <c r="H205" s="18">
        <f>595+4328.15</f>
        <v>4923.1499999999996</v>
      </c>
      <c r="I205" s="18">
        <v>684.23</v>
      </c>
      <c r="J205" s="18"/>
      <c r="K205" s="18">
        <v>99.5</v>
      </c>
      <c r="L205" s="19">
        <f t="shared" si="0"/>
        <v>177829.83000000002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47184.9</v>
      </c>
      <c r="G207" s="18">
        <v>17177.79</v>
      </c>
      <c r="H207" s="18">
        <f>74074.06+4032.23+350</f>
        <v>78456.289999999994</v>
      </c>
      <c r="I207" s="18">
        <v>78026.720000000001</v>
      </c>
      <c r="J207" s="18">
        <v>1615.32</v>
      </c>
      <c r="K207" s="18">
        <v>75</v>
      </c>
      <c r="L207" s="19">
        <f t="shared" si="0"/>
        <v>222536.02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8313.8700000000008</v>
      </c>
      <c r="G208" s="18">
        <v>3614.38</v>
      </c>
      <c r="H208" s="18">
        <f>1694.39+108035.31</f>
        <v>109729.7</v>
      </c>
      <c r="I208" s="18">
        <v>1634.15</v>
      </c>
      <c r="J208" s="18"/>
      <c r="K208" s="18">
        <v>23.56</v>
      </c>
      <c r="L208" s="19">
        <f t="shared" si="0"/>
        <v>123315.65999999999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12923.38+7004.4</f>
        <v>19927.78</v>
      </c>
      <c r="I209" s="18">
        <v>734.98</v>
      </c>
      <c r="J209" s="18">
        <v>5274.37</v>
      </c>
      <c r="K209" s="18"/>
      <c r="L209" s="19">
        <f>SUM(F209:K209)</f>
        <v>25937.129999999997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1476726.94</v>
      </c>
      <c r="G211" s="41">
        <f t="shared" si="1"/>
        <v>599468.27999999991</v>
      </c>
      <c r="H211" s="41">
        <f t="shared" si="1"/>
        <v>657127.24</v>
      </c>
      <c r="I211" s="41">
        <f t="shared" si="1"/>
        <v>135990.70000000001</v>
      </c>
      <c r="J211" s="41">
        <f t="shared" si="1"/>
        <v>10476.73</v>
      </c>
      <c r="K211" s="41">
        <f t="shared" si="1"/>
        <v>3684.7000000000003</v>
      </c>
      <c r="L211" s="41">
        <f t="shared" si="1"/>
        <v>2883474.5900000003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1192657.1299999999</v>
      </c>
      <c r="G215" s="18">
        <v>459513.3</v>
      </c>
      <c r="H215" s="18">
        <f>148.98+1501+13362.05</f>
        <v>15012.029999999999</v>
      </c>
      <c r="I215" s="18">
        <v>55335.92</v>
      </c>
      <c r="J215" s="18">
        <f>14288.62+1789+1789</f>
        <v>17866.620000000003</v>
      </c>
      <c r="K215" s="18">
        <v>7798.62</v>
      </c>
      <c r="L215" s="19">
        <f>SUM(F215:K215)</f>
        <v>1748183.62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418963.74</v>
      </c>
      <c r="G216" s="18">
        <v>191022.53</v>
      </c>
      <c r="H216" s="18">
        <f>40716+239333.43</f>
        <v>280049.43</v>
      </c>
      <c r="I216" s="18">
        <f>6924.79+691.9</f>
        <v>7616.69</v>
      </c>
      <c r="J216" s="18"/>
      <c r="K216" s="18">
        <v>5.55</v>
      </c>
      <c r="L216" s="19">
        <f>SUM(F216:K216)</f>
        <v>897657.94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47637.78</f>
        <v>47637.78</v>
      </c>
      <c r="G218" s="18">
        <f>11277.1</f>
        <v>11277.1</v>
      </c>
      <c r="H218" s="18">
        <f>8550+2339.2+12212.53</f>
        <v>23101.730000000003</v>
      </c>
      <c r="I218" s="18">
        <v>7196.35</v>
      </c>
      <c r="J218" s="18"/>
      <c r="K218" s="18">
        <v>2790</v>
      </c>
      <c r="L218" s="19">
        <f>SUM(F218:K218)</f>
        <v>92002.96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109855.97</v>
      </c>
      <c r="G220" s="18">
        <v>59236.89</v>
      </c>
      <c r="H220" s="18">
        <f>101102.75+1784.5+288.77</f>
        <v>103176.02</v>
      </c>
      <c r="I220" s="18">
        <v>6488.88</v>
      </c>
      <c r="J220" s="18"/>
      <c r="K220" s="18">
        <v>2532</v>
      </c>
      <c r="L220" s="19">
        <f t="shared" ref="L220:L226" si="2">SUM(F220:K220)</f>
        <v>281289.76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65324.5</v>
      </c>
      <c r="G221" s="18">
        <f>47442.41+765</f>
        <v>48207.41</v>
      </c>
      <c r="H221" s="18">
        <f>35605.92+1138.32</f>
        <v>36744.239999999998</v>
      </c>
      <c r="I221" s="18">
        <v>5472.97</v>
      </c>
      <c r="J221" s="18">
        <v>12544.18</v>
      </c>
      <c r="K221" s="18"/>
      <c r="L221" s="19">
        <f t="shared" si="2"/>
        <v>168293.3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3831.53</v>
      </c>
      <c r="G222" s="18">
        <v>333.76</v>
      </c>
      <c r="H222" s="18">
        <f>214221.36+13529+3218.46-1980.12</f>
        <v>228988.69999999998</v>
      </c>
      <c r="I222" s="18">
        <v>1027.01</v>
      </c>
      <c r="J222" s="18"/>
      <c r="K222" s="18">
        <v>2509.44</v>
      </c>
      <c r="L222" s="19">
        <f t="shared" si="2"/>
        <v>236690.44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193154.24</v>
      </c>
      <c r="G223" s="18">
        <v>95315.18</v>
      </c>
      <c r="H223" s="18">
        <f>300+3476.84</f>
        <v>3776.84</v>
      </c>
      <c r="I223" s="18">
        <v>2187.2399999999998</v>
      </c>
      <c r="J223" s="18"/>
      <c r="K223" s="18">
        <v>890</v>
      </c>
      <c r="L223" s="19">
        <f t="shared" si="2"/>
        <v>295323.5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79969.820000000007</v>
      </c>
      <c r="G225" s="18">
        <v>31115.21</v>
      </c>
      <c r="H225" s="18">
        <f>76463.36+4948.05+3501+350</f>
        <v>85262.41</v>
      </c>
      <c r="I225" s="18">
        <v>101197.54</v>
      </c>
      <c r="J225" s="18">
        <v>442.13</v>
      </c>
      <c r="K225" s="18">
        <v>75</v>
      </c>
      <c r="L225" s="19">
        <f t="shared" si="2"/>
        <v>298062.11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9922.98</v>
      </c>
      <c r="G226" s="18">
        <v>4314.1499999999996</v>
      </c>
      <c r="H226" s="18">
        <f>2022.34+144302.3</f>
        <v>146324.63999999998</v>
      </c>
      <c r="I226" s="18">
        <v>1950.42</v>
      </c>
      <c r="J226" s="18"/>
      <c r="K226" s="18">
        <v>28.12</v>
      </c>
      <c r="L226" s="19">
        <f t="shared" si="2"/>
        <v>162540.31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 t="s">
        <v>287</v>
      </c>
      <c r="G227" s="18"/>
      <c r="H227" s="18">
        <f>31346.21+8595.1</f>
        <v>39941.31</v>
      </c>
      <c r="I227" s="18">
        <v>1122.5999999999999</v>
      </c>
      <c r="J227" s="18">
        <v>4596.55</v>
      </c>
      <c r="K227" s="18">
        <v>75</v>
      </c>
      <c r="L227" s="19">
        <f>SUM(F227:K227)</f>
        <v>45735.46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2121317.69</v>
      </c>
      <c r="G229" s="41">
        <f>SUM(G215:G228)</f>
        <v>900335.52999999991</v>
      </c>
      <c r="H229" s="41">
        <f>SUM(H215:H228)</f>
        <v>962377.34999999986</v>
      </c>
      <c r="I229" s="41">
        <f>SUM(I215:I228)</f>
        <v>189595.62000000002</v>
      </c>
      <c r="J229" s="41">
        <f>SUM(J215:J228)</f>
        <v>35449.480000000003</v>
      </c>
      <c r="K229" s="41">
        <f t="shared" si="3"/>
        <v>16703.73</v>
      </c>
      <c r="L229" s="41">
        <f t="shared" si="3"/>
        <v>4225779.4000000004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1115735.29</v>
      </c>
      <c r="G233" s="18">
        <v>469241.06</v>
      </c>
      <c r="H233" s="18">
        <f>4920+1638.32</f>
        <v>6558.32</v>
      </c>
      <c r="I233" s="18">
        <v>57900.06</v>
      </c>
      <c r="J233" s="18">
        <v>8078.48</v>
      </c>
      <c r="K233" s="18">
        <v>6603.88</v>
      </c>
      <c r="L233" s="19">
        <f>SUM(F233:K233)</f>
        <v>1664117.09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410592.26</v>
      </c>
      <c r="G234" s="18">
        <v>218573.05</v>
      </c>
      <c r="H234" s="18">
        <f>134759.79+679523.98</f>
        <v>814283.77</v>
      </c>
      <c r="I234" s="18">
        <v>3301.35</v>
      </c>
      <c r="J234" s="18">
        <v>379</v>
      </c>
      <c r="K234" s="18">
        <v>54.8</v>
      </c>
      <c r="L234" s="19">
        <f>SUM(F234:K234)</f>
        <v>1447184.2300000002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301077.64</v>
      </c>
      <c r="I235" s="18"/>
      <c r="J235" s="18"/>
      <c r="K235" s="18"/>
      <c r="L235" s="19">
        <f>SUM(F235:K235)</f>
        <v>301077.64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80086.26</f>
        <v>80086.259999999995</v>
      </c>
      <c r="G236" s="18">
        <f>10073.18</f>
        <v>10073.18</v>
      </c>
      <c r="H236" s="18">
        <f>20913.5+220+21807.1</f>
        <v>42940.6</v>
      </c>
      <c r="I236" s="18">
        <v>8211.0300000000007</v>
      </c>
      <c r="J236" s="18">
        <v>235</v>
      </c>
      <c r="K236" s="18">
        <v>6350</v>
      </c>
      <c r="L236" s="19">
        <f>SUM(F236:K236)</f>
        <v>147896.07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209736.95999999999</v>
      </c>
      <c r="G238" s="18">
        <v>96901.41</v>
      </c>
      <c r="H238" s="18">
        <f>70133.75+1737.08+100.24</f>
        <v>71971.070000000007</v>
      </c>
      <c r="I238" s="18">
        <v>8930.0400000000009</v>
      </c>
      <c r="J238" s="18">
        <v>203.7</v>
      </c>
      <c r="K238" s="18">
        <v>1844.28</v>
      </c>
      <c r="L238" s="19">
        <f t="shared" ref="L238:L244" si="4">SUM(F238:K238)</f>
        <v>389587.46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52332.38</v>
      </c>
      <c r="G239" s="18">
        <f>26843.62+1308</f>
        <v>28151.62</v>
      </c>
      <c r="H239" s="18">
        <f>39515.92+2347.09</f>
        <v>41863.009999999995</v>
      </c>
      <c r="I239" s="18">
        <v>3650.73</v>
      </c>
      <c r="J239" s="18"/>
      <c r="K239" s="18"/>
      <c r="L239" s="19">
        <f t="shared" si="4"/>
        <v>125997.73999999999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3409.86</v>
      </c>
      <c r="G240" s="18">
        <v>297.48</v>
      </c>
      <c r="H240" s="18">
        <f>185840.47+12032.06</f>
        <v>197872.53</v>
      </c>
      <c r="I240" s="18">
        <v>1026.57</v>
      </c>
      <c r="J240" s="18"/>
      <c r="K240" s="18">
        <v>93.67</v>
      </c>
      <c r="L240" s="19">
        <f t="shared" si="4"/>
        <v>202700.11000000002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224064.11</v>
      </c>
      <c r="G241" s="18">
        <v>88728</v>
      </c>
      <c r="H241" s="18">
        <f>1075+549+10843.91</f>
        <v>12467.91</v>
      </c>
      <c r="I241" s="18">
        <f>6385.49+232</f>
        <v>6617.49</v>
      </c>
      <c r="J241" s="18">
        <v>426.49</v>
      </c>
      <c r="K241" s="18">
        <v>1542</v>
      </c>
      <c r="L241" s="19">
        <f t="shared" si="4"/>
        <v>333845.99999999994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88489.48</v>
      </c>
      <c r="G243" s="18">
        <v>31022.6</v>
      </c>
      <c r="H243" s="18">
        <f>101080.58+4465.85+272.8+2357+350</f>
        <v>108526.23000000001</v>
      </c>
      <c r="I243" s="18">
        <f>139159.39+945</f>
        <v>140104.39000000001</v>
      </c>
      <c r="J243" s="18">
        <v>13817.42</v>
      </c>
      <c r="K243" s="18">
        <v>75</v>
      </c>
      <c r="L243" s="19">
        <f t="shared" si="4"/>
        <v>382035.12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8581.19</v>
      </c>
      <c r="G244" s="18">
        <v>3731.41</v>
      </c>
      <c r="H244" s="18">
        <f>1749.07+173352.46</f>
        <v>175101.53</v>
      </c>
      <c r="I244" s="18">
        <v>1686.84</v>
      </c>
      <c r="J244" s="18"/>
      <c r="K244" s="18">
        <v>24.32</v>
      </c>
      <c r="L244" s="19">
        <f t="shared" si="4"/>
        <v>189125.29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12322.64+28271.43</f>
        <v>40594.07</v>
      </c>
      <c r="I245" s="18">
        <v>1043.3399999999999</v>
      </c>
      <c r="J245" s="18">
        <v>3901.55</v>
      </c>
      <c r="K245" s="18"/>
      <c r="L245" s="19">
        <f>SUM(F245:K245)</f>
        <v>45538.96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2193027.79</v>
      </c>
      <c r="G247" s="41">
        <f t="shared" si="5"/>
        <v>946719.81</v>
      </c>
      <c r="H247" s="41">
        <f t="shared" si="5"/>
        <v>1813256.6800000002</v>
      </c>
      <c r="I247" s="41">
        <f t="shared" si="5"/>
        <v>232471.84000000003</v>
      </c>
      <c r="J247" s="41">
        <f t="shared" si="5"/>
        <v>27041.64</v>
      </c>
      <c r="K247" s="41">
        <f t="shared" si="5"/>
        <v>16587.95</v>
      </c>
      <c r="L247" s="41">
        <f t="shared" si="5"/>
        <v>5229105.7100000009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17988.68</v>
      </c>
      <c r="G253" s="18">
        <v>10390.58</v>
      </c>
      <c r="H253" s="18">
        <v>980.63</v>
      </c>
      <c r="I253" s="18">
        <v>828.85</v>
      </c>
      <c r="J253" s="18"/>
      <c r="K253" s="18"/>
      <c r="L253" s="19">
        <f t="shared" si="6"/>
        <v>30188.74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17988.68</v>
      </c>
      <c r="G256" s="41">
        <f t="shared" si="7"/>
        <v>10390.58</v>
      </c>
      <c r="H256" s="41">
        <f t="shared" si="7"/>
        <v>980.63</v>
      </c>
      <c r="I256" s="41">
        <f t="shared" si="7"/>
        <v>828.85</v>
      </c>
      <c r="J256" s="41">
        <f t="shared" si="7"/>
        <v>0</v>
      </c>
      <c r="K256" s="41">
        <f t="shared" si="7"/>
        <v>0</v>
      </c>
      <c r="L256" s="41">
        <f>SUM(F256:K256)</f>
        <v>30188.74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5809061.0999999996</v>
      </c>
      <c r="G257" s="41">
        <f t="shared" si="8"/>
        <v>2456914.2000000002</v>
      </c>
      <c r="H257" s="41">
        <f t="shared" si="8"/>
        <v>3433741.9</v>
      </c>
      <c r="I257" s="41">
        <f t="shared" si="8"/>
        <v>558887.01000000013</v>
      </c>
      <c r="J257" s="41">
        <f t="shared" si="8"/>
        <v>72967.850000000006</v>
      </c>
      <c r="K257" s="41">
        <f t="shared" si="8"/>
        <v>36976.380000000005</v>
      </c>
      <c r="L257" s="41">
        <f t="shared" si="8"/>
        <v>12368548.440000001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328523.69</v>
      </c>
      <c r="L260" s="19">
        <f>SUM(F260:K260)</f>
        <v>328523.69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14592.77</v>
      </c>
      <c r="L261" s="19">
        <f>SUM(F261:K261)</f>
        <v>14592.77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64252.14-28482.67+650</f>
        <v>36419.47</v>
      </c>
      <c r="L263" s="19">
        <f>SUM(F263:K263)</f>
        <v>36419.47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11518</v>
      </c>
      <c r="L268" s="19">
        <f t="shared" si="9"/>
        <v>11518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466053.93000000005</v>
      </c>
      <c r="L270" s="41">
        <f t="shared" si="9"/>
        <v>466053.93000000005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5809061.0999999996</v>
      </c>
      <c r="G271" s="42">
        <f t="shared" si="11"/>
        <v>2456914.2000000002</v>
      </c>
      <c r="H271" s="42">
        <f t="shared" si="11"/>
        <v>3433741.9</v>
      </c>
      <c r="I271" s="42">
        <f t="shared" si="11"/>
        <v>558887.01000000013</v>
      </c>
      <c r="J271" s="42">
        <f t="shared" si="11"/>
        <v>72967.850000000006</v>
      </c>
      <c r="K271" s="42">
        <f t="shared" si="11"/>
        <v>503030.31000000006</v>
      </c>
      <c r="L271" s="42">
        <f t="shared" si="11"/>
        <v>12834602.370000001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178322.8</v>
      </c>
      <c r="G276" s="18">
        <v>80097.67</v>
      </c>
      <c r="H276" s="18"/>
      <c r="I276" s="18"/>
      <c r="J276" s="18"/>
      <c r="K276" s="18"/>
      <c r="L276" s="19">
        <f>SUM(F276:K276)</f>
        <v>258420.46999999997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9840.92</v>
      </c>
      <c r="G277" s="18">
        <v>4892.05</v>
      </c>
      <c r="H277" s="18"/>
      <c r="I277" s="18"/>
      <c r="J277" s="18"/>
      <c r="K277" s="18"/>
      <c r="L277" s="19">
        <f>SUM(F277:K277)</f>
        <v>14732.970000000001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15422.85</v>
      </c>
      <c r="G279" s="18">
        <v>1093.47</v>
      </c>
      <c r="H279" s="18">
        <v>904.42</v>
      </c>
      <c r="I279" s="18"/>
      <c r="J279" s="18"/>
      <c r="K279" s="18"/>
      <c r="L279" s="19">
        <f>SUM(F279:K279)</f>
        <v>17420.739999999998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4617</v>
      </c>
      <c r="L283" s="19">
        <f t="shared" si="12"/>
        <v>4617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997.5</v>
      </c>
      <c r="I286" s="18"/>
      <c r="J286" s="18"/>
      <c r="K286" s="18"/>
      <c r="L286" s="19">
        <f t="shared" si="12"/>
        <v>997.5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203586.57</v>
      </c>
      <c r="G290" s="42">
        <f t="shared" si="13"/>
        <v>86083.19</v>
      </c>
      <c r="H290" s="42">
        <f t="shared" si="13"/>
        <v>1901.92</v>
      </c>
      <c r="I290" s="42">
        <f t="shared" si="13"/>
        <v>0</v>
      </c>
      <c r="J290" s="42">
        <f t="shared" si="13"/>
        <v>0</v>
      </c>
      <c r="K290" s="42">
        <f t="shared" si="13"/>
        <v>4617</v>
      </c>
      <c r="L290" s="41">
        <f t="shared" si="13"/>
        <v>296188.67999999993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>
        <v>14502.78</v>
      </c>
      <c r="H295" s="18">
        <v>13632.35</v>
      </c>
      <c r="I295" s="18"/>
      <c r="J295" s="18"/>
      <c r="K295" s="18"/>
      <c r="L295" s="19">
        <f>SUM(F295:K295)</f>
        <v>28135.13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65263.05</v>
      </c>
      <c r="G298" s="18">
        <v>17396.939999999999</v>
      </c>
      <c r="H298" s="18">
        <f>295+665.68</f>
        <v>960.68</v>
      </c>
      <c r="I298" s="18"/>
      <c r="J298" s="18"/>
      <c r="K298" s="18"/>
      <c r="L298" s="19">
        <f>SUM(F298:K298)</f>
        <v>83620.67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0</v>
      </c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999</v>
      </c>
      <c r="L302" s="19">
        <f t="shared" si="14"/>
        <v>999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65263.05</v>
      </c>
      <c r="G309" s="42">
        <f t="shared" si="15"/>
        <v>31899.72</v>
      </c>
      <c r="H309" s="42">
        <f t="shared" si="15"/>
        <v>14593.03</v>
      </c>
      <c r="I309" s="42">
        <f t="shared" si="15"/>
        <v>0</v>
      </c>
      <c r="J309" s="42">
        <f t="shared" si="15"/>
        <v>0</v>
      </c>
      <c r="K309" s="42">
        <f t="shared" si="15"/>
        <v>999</v>
      </c>
      <c r="L309" s="41">
        <f t="shared" si="15"/>
        <v>112754.8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2050</v>
      </c>
      <c r="I314" s="18">
        <v>1920.01</v>
      </c>
      <c r="J314" s="18"/>
      <c r="K314" s="18"/>
      <c r="L314" s="19">
        <f>SUM(F314:K314)</f>
        <v>3970.01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11904.11</v>
      </c>
      <c r="G317" s="18">
        <v>729.57</v>
      </c>
      <c r="H317" s="18"/>
      <c r="I317" s="18">
        <v>499.15</v>
      </c>
      <c r="J317" s="18"/>
      <c r="K317" s="18"/>
      <c r="L317" s="19">
        <f>SUM(F317:K317)</f>
        <v>13132.83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288.5</v>
      </c>
      <c r="G319" s="18">
        <v>41.98</v>
      </c>
      <c r="H319" s="18">
        <f>540+817.53</f>
        <v>1357.53</v>
      </c>
      <c r="I319" s="18">
        <v>2360.34</v>
      </c>
      <c r="J319" s="18"/>
      <c r="K319" s="18">
        <v>3260</v>
      </c>
      <c r="L319" s="19">
        <f t="shared" ref="L319:L325" si="16">SUM(F319:K319)</f>
        <v>7308.35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1747.5</v>
      </c>
      <c r="I324" s="18">
        <v>119.8</v>
      </c>
      <c r="J324" s="18"/>
      <c r="K324" s="18"/>
      <c r="L324" s="19">
        <f t="shared" si="16"/>
        <v>1867.3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3481.48</v>
      </c>
      <c r="I325" s="18"/>
      <c r="J325" s="18"/>
      <c r="K325" s="18"/>
      <c r="L325" s="19">
        <f t="shared" si="16"/>
        <v>3481.48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12192.61</v>
      </c>
      <c r="G328" s="42">
        <f t="shared" si="17"/>
        <v>771.55000000000007</v>
      </c>
      <c r="H328" s="42">
        <f t="shared" si="17"/>
        <v>8636.51</v>
      </c>
      <c r="I328" s="42">
        <f t="shared" si="17"/>
        <v>4899.3</v>
      </c>
      <c r="J328" s="42">
        <f t="shared" si="17"/>
        <v>0</v>
      </c>
      <c r="K328" s="42">
        <f t="shared" si="17"/>
        <v>3260</v>
      </c>
      <c r="L328" s="41">
        <f t="shared" si="17"/>
        <v>29759.97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281042.23</v>
      </c>
      <c r="G338" s="41">
        <f t="shared" si="20"/>
        <v>118754.46</v>
      </c>
      <c r="H338" s="41">
        <f t="shared" si="20"/>
        <v>25131.46</v>
      </c>
      <c r="I338" s="41">
        <f t="shared" si="20"/>
        <v>4899.3</v>
      </c>
      <c r="J338" s="41">
        <f t="shared" si="20"/>
        <v>0</v>
      </c>
      <c r="K338" s="41">
        <f t="shared" si="20"/>
        <v>8876</v>
      </c>
      <c r="L338" s="41">
        <f t="shared" si="20"/>
        <v>438703.44999999995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281042.23</v>
      </c>
      <c r="G352" s="41">
        <f>G338</f>
        <v>118754.46</v>
      </c>
      <c r="H352" s="41">
        <f>H338</f>
        <v>25131.46</v>
      </c>
      <c r="I352" s="41">
        <f>I338</f>
        <v>4899.3</v>
      </c>
      <c r="J352" s="41">
        <f>J338</f>
        <v>0</v>
      </c>
      <c r="K352" s="47">
        <f>K338+K351</f>
        <v>8876</v>
      </c>
      <c r="L352" s="41">
        <f>L338+L351</f>
        <v>438703.44999999995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97515.12+2922.14</f>
        <v>100437.26</v>
      </c>
      <c r="I358" s="18">
        <v>10.42</v>
      </c>
      <c r="J358" s="18">
        <v>925.51</v>
      </c>
      <c r="K358" s="18">
        <v>208</v>
      </c>
      <c r="L358" s="13">
        <f>SUM(F358:K358)</f>
        <v>101581.18999999999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19079.099999999999</v>
      </c>
      <c r="G359" s="18">
        <v>10440.44</v>
      </c>
      <c r="H359" s="18">
        <f>115904.05+644.85</f>
        <v>116548.90000000001</v>
      </c>
      <c r="I359" s="18">
        <v>196.56</v>
      </c>
      <c r="J359" s="18">
        <v>925.51</v>
      </c>
      <c r="K359" s="18">
        <v>234</v>
      </c>
      <c r="L359" s="19">
        <f>SUM(F359:K359)</f>
        <v>147424.51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90276.88+2197.47</f>
        <v>92474.35</v>
      </c>
      <c r="I360" s="18">
        <v>733.44</v>
      </c>
      <c r="J360" s="18">
        <v>1689.6</v>
      </c>
      <c r="K360" s="18">
        <v>208</v>
      </c>
      <c r="L360" s="19">
        <f>SUM(F360:K360)</f>
        <v>95105.390000000014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19079.099999999999</v>
      </c>
      <c r="G362" s="47">
        <f t="shared" si="22"/>
        <v>10440.44</v>
      </c>
      <c r="H362" s="47">
        <f t="shared" si="22"/>
        <v>309460.51</v>
      </c>
      <c r="I362" s="47">
        <f t="shared" si="22"/>
        <v>940.42000000000007</v>
      </c>
      <c r="J362" s="47">
        <f t="shared" si="22"/>
        <v>3540.62</v>
      </c>
      <c r="K362" s="47">
        <f t="shared" si="22"/>
        <v>650</v>
      </c>
      <c r="L362" s="47">
        <f t="shared" si="22"/>
        <v>344111.09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10.42</v>
      </c>
      <c r="G368" s="63">
        <v>196.56</v>
      </c>
      <c r="H368" s="63">
        <v>733.44</v>
      </c>
      <c r="I368" s="56">
        <f>SUM(F368:H368)</f>
        <v>940.42000000000007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10.42</v>
      </c>
      <c r="G369" s="47">
        <f>SUM(G367:G368)</f>
        <v>196.56</v>
      </c>
      <c r="H369" s="47">
        <f>SUM(H367:H368)</f>
        <v>733.44</v>
      </c>
      <c r="I369" s="47">
        <f>SUM(I367:I368)</f>
        <v>940.42000000000007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>
        <v>196218.27</v>
      </c>
      <c r="J379" s="18"/>
      <c r="K379" s="18"/>
      <c r="L379" s="13">
        <f t="shared" si="23"/>
        <v>196218.27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196218.27</v>
      </c>
      <c r="J382" s="47">
        <f t="shared" si="24"/>
        <v>0</v>
      </c>
      <c r="K382" s="47">
        <f t="shared" si="24"/>
        <v>0</v>
      </c>
      <c r="L382" s="47">
        <f t="shared" si="24"/>
        <v>196218.27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75000</v>
      </c>
      <c r="H397" s="18"/>
      <c r="I397" s="18"/>
      <c r="J397" s="24" t="s">
        <v>289</v>
      </c>
      <c r="K397" s="24" t="s">
        <v>289</v>
      </c>
      <c r="L397" s="56">
        <f t="shared" si="26"/>
        <v>75000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21441</v>
      </c>
      <c r="L422" s="56">
        <f t="shared" si="29"/>
        <v>21441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21441</v>
      </c>
      <c r="L427" s="47">
        <f t="shared" si="30"/>
        <v>21441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21441</v>
      </c>
      <c r="L434" s="47">
        <f t="shared" si="32"/>
        <v>21441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393775.64+21441</f>
        <v>415216.64000000001</v>
      </c>
      <c r="H439" s="18"/>
      <c r="I439" s="56">
        <f t="shared" ref="I439:I445" si="33">SUM(F439:H439)</f>
        <v>415216.64000000001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415216.64000000001</v>
      </c>
      <c r="H446" s="13">
        <f>SUM(H439:H445)</f>
        <v>0</v>
      </c>
      <c r="I446" s="13">
        <f>SUM(I439:I445)</f>
        <v>415216.64000000001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21441</v>
      </c>
      <c r="H448" s="18"/>
      <c r="I448" s="56">
        <f>SUM(F448:H448)</f>
        <v>21441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21441</v>
      </c>
      <c r="H452" s="72">
        <f>SUM(H448:H451)</f>
        <v>0</v>
      </c>
      <c r="I452" s="72">
        <f>SUM(I448:I451)</f>
        <v>21441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v>393775.64</v>
      </c>
      <c r="H459" s="18"/>
      <c r="I459" s="56">
        <f t="shared" si="34"/>
        <v>393775.64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393775.64</v>
      </c>
      <c r="H460" s="83">
        <f>SUM(H454:H459)</f>
        <v>0</v>
      </c>
      <c r="I460" s="83">
        <f>SUM(I454:I459)</f>
        <v>393775.64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415216.64000000001</v>
      </c>
      <c r="H461" s="42">
        <f>H452+H460</f>
        <v>0</v>
      </c>
      <c r="I461" s="42">
        <f>I452+I460</f>
        <v>415216.64000000001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442651.73-198325.6</f>
        <v>244326.12999999998</v>
      </c>
      <c r="G465" s="18">
        <v>18961.66</v>
      </c>
      <c r="H465" s="18">
        <f>2724.75+3125.05</f>
        <v>5849.8</v>
      </c>
      <c r="I465" s="18">
        <v>2083.46</v>
      </c>
      <c r="J465" s="18">
        <v>340216.64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13220634.22-268213</f>
        <v>12952421.220000001</v>
      </c>
      <c r="G468" s="18">
        <f>324499.43+650</f>
        <v>325149.43</v>
      </c>
      <c r="H468" s="18">
        <f>432538.9+9366</f>
        <v>441904.9</v>
      </c>
      <c r="I468" s="18">
        <v>268213</v>
      </c>
      <c r="J468" s="18">
        <v>75000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12952421.220000001</v>
      </c>
      <c r="G470" s="53">
        <f>SUM(G468:G469)</f>
        <v>325149.43</v>
      </c>
      <c r="H470" s="53">
        <f>SUM(H468:H469)</f>
        <v>441904.9</v>
      </c>
      <c r="I470" s="53">
        <f>SUM(I468:I469)</f>
        <v>268213</v>
      </c>
      <c r="J470" s="53">
        <f>SUM(J468:J469)</f>
        <v>75000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12819251.67+14700.7+650</f>
        <v>12834602.369999999</v>
      </c>
      <c r="G472" s="18">
        <f>343461.09+650</f>
        <v>344111.09</v>
      </c>
      <c r="H472" s="18">
        <f>427991.96+10711.49</f>
        <v>438703.45</v>
      </c>
      <c r="I472" s="18">
        <f>196218.27</f>
        <v>196218.27</v>
      </c>
      <c r="J472" s="18">
        <v>21441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12834602.369999999</v>
      </c>
      <c r="G474" s="53">
        <f>SUM(G472:G473)</f>
        <v>344111.09</v>
      </c>
      <c r="H474" s="53">
        <f>SUM(H472:H473)</f>
        <v>438703.45</v>
      </c>
      <c r="I474" s="53">
        <f>SUM(I472:I473)</f>
        <v>196218.27</v>
      </c>
      <c r="J474" s="53">
        <f>SUM(J472:J473)</f>
        <v>21441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362144.98000000231</v>
      </c>
      <c r="G476" s="53">
        <f>(G465+G470)- G474</f>
        <v>0</v>
      </c>
      <c r="H476" s="53">
        <f>(H465+H470)- H474</f>
        <v>9051.25</v>
      </c>
      <c r="I476" s="53">
        <f>(I465+I470)- I474</f>
        <v>74078.190000000031</v>
      </c>
      <c r="J476" s="53">
        <f>(J465+J470)- J474</f>
        <v>393775.64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15</v>
      </c>
      <c r="H490" s="154">
        <v>10</v>
      </c>
      <c r="I490" s="154">
        <v>14</v>
      </c>
      <c r="J490" s="154">
        <v>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5" t="s">
        <v>914</v>
      </c>
      <c r="I491" s="155" t="s">
        <v>915</v>
      </c>
      <c r="J491" s="155" t="s">
        <v>916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 t="s">
        <v>918</v>
      </c>
      <c r="H492" s="155" t="s">
        <v>919</v>
      </c>
      <c r="I492" s="155" t="s">
        <v>920</v>
      </c>
      <c r="J492" s="155" t="s">
        <v>921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500000</v>
      </c>
      <c r="G493" s="18">
        <v>1694000</v>
      </c>
      <c r="H493" s="18">
        <v>605000</v>
      </c>
      <c r="I493" s="18">
        <v>1498000</v>
      </c>
      <c r="J493" s="18">
        <v>73535.149999999994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>
        <v>0</v>
      </c>
      <c r="H494" s="18">
        <v>4.5</v>
      </c>
      <c r="I494" s="18">
        <v>0</v>
      </c>
      <c r="J494" s="18">
        <v>2.25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233333.34-33333.33-33333.33</f>
        <v>166666.68</v>
      </c>
      <c r="G495" s="18">
        <f>1059333.33-112933.33-112933.33</f>
        <v>833466.67000000016</v>
      </c>
      <c r="H495" s="18">
        <f>423500-60500-60500</f>
        <v>302500</v>
      </c>
      <c r="I495" s="18">
        <f>1177000-107000-107000</f>
        <v>963000</v>
      </c>
      <c r="J495" s="18">
        <f>73535.15-14757.03-14757.03</f>
        <v>44021.09</v>
      </c>
      <c r="K495" s="53">
        <f>SUM(F495:J495)</f>
        <v>2309654.44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33333.33</v>
      </c>
      <c r="G497" s="18">
        <v>112933.33</v>
      </c>
      <c r="H497" s="18">
        <v>60500</v>
      </c>
      <c r="I497" s="18">
        <v>107000</v>
      </c>
      <c r="J497" s="18">
        <v>14757.03</v>
      </c>
      <c r="K497" s="53">
        <f t="shared" si="35"/>
        <v>328523.69000000006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133333.34999999998</v>
      </c>
      <c r="G498" s="204">
        <f t="shared" ref="G498:J498" si="36">G495-G497</f>
        <v>720533.3400000002</v>
      </c>
      <c r="H498" s="204">
        <f t="shared" si="36"/>
        <v>242000</v>
      </c>
      <c r="I498" s="204">
        <f t="shared" si="36"/>
        <v>856000</v>
      </c>
      <c r="J498" s="204">
        <f t="shared" si="36"/>
        <v>29264.059999999998</v>
      </c>
      <c r="K498" s="205">
        <f t="shared" si="35"/>
        <v>1981130.7500000002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133333.34999999998</v>
      </c>
      <c r="G500" s="42">
        <f>SUM(G498:G499)</f>
        <v>720533.3400000002</v>
      </c>
      <c r="H500" s="42">
        <f>SUM(H498:H499)</f>
        <v>242000</v>
      </c>
      <c r="I500" s="42">
        <f>SUM(I498:I499)</f>
        <v>856000</v>
      </c>
      <c r="J500" s="42">
        <f>SUM(J498:J499)</f>
        <v>29264.059999999998</v>
      </c>
      <c r="K500" s="42">
        <f t="shared" si="35"/>
        <v>1981130.7500000002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240928.24</v>
      </c>
      <c r="G521" s="18">
        <v>115489.21</v>
      </c>
      <c r="H521" s="18">
        <f>39025.83+474.43</f>
        <v>39500.26</v>
      </c>
      <c r="I521" s="18">
        <v>2253.13</v>
      </c>
      <c r="J521" s="18">
        <v>655</v>
      </c>
      <c r="K521" s="18">
        <v>134.65</v>
      </c>
      <c r="L521" s="88">
        <f>SUM(F521:K521)</f>
        <v>398960.49000000005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397952.62</v>
      </c>
      <c r="G522" s="18">
        <v>184063.48</v>
      </c>
      <c r="H522" s="18">
        <f>40716+239333.43</f>
        <v>280049.43</v>
      </c>
      <c r="I522" s="18">
        <v>6924.79</v>
      </c>
      <c r="J522" s="18"/>
      <c r="K522" s="18">
        <v>5.55</v>
      </c>
      <c r="L522" s="88">
        <f>SUM(F522:K522)</f>
        <v>868995.87000000011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398716.54</v>
      </c>
      <c r="G523" s="18">
        <v>214720.6</v>
      </c>
      <c r="H523" s="18">
        <f>134759.79+679523.98</f>
        <v>814283.77</v>
      </c>
      <c r="I523" s="18">
        <v>3301.35</v>
      </c>
      <c r="J523" s="18">
        <v>379</v>
      </c>
      <c r="K523" s="18">
        <v>54.8</v>
      </c>
      <c r="L523" s="88">
        <f>SUM(F523:K523)</f>
        <v>1431456.0600000003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1037597.3999999999</v>
      </c>
      <c r="G524" s="108">
        <f t="shared" ref="G524:L524" si="37">SUM(G521:G523)</f>
        <v>514273.29000000004</v>
      </c>
      <c r="H524" s="108">
        <f t="shared" si="37"/>
        <v>1133833.46</v>
      </c>
      <c r="I524" s="108">
        <f t="shared" si="37"/>
        <v>12479.27</v>
      </c>
      <c r="J524" s="108">
        <f t="shared" si="37"/>
        <v>1034</v>
      </c>
      <c r="K524" s="108">
        <f t="shared" si="37"/>
        <v>195</v>
      </c>
      <c r="L524" s="89">
        <f t="shared" si="37"/>
        <v>2699412.4200000004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127323.44</v>
      </c>
      <c r="I526" s="18"/>
      <c r="J526" s="18"/>
      <c r="K526" s="18"/>
      <c r="L526" s="88">
        <f>SUM(F526:K526)</f>
        <v>127323.44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101102.75</v>
      </c>
      <c r="I527" s="18">
        <v>398.91</v>
      </c>
      <c r="J527" s="18"/>
      <c r="K527" s="18"/>
      <c r="L527" s="88">
        <f>SUM(F527:K527)</f>
        <v>101501.66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69804.75</v>
      </c>
      <c r="I528" s="18"/>
      <c r="J528" s="18"/>
      <c r="K528" s="18"/>
      <c r="L528" s="88">
        <f>SUM(F528:K528)</f>
        <v>69804.75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>SUM(H526:H528)</f>
        <v>298230.94</v>
      </c>
      <c r="I529" s="89">
        <f t="shared" si="38"/>
        <v>398.91</v>
      </c>
      <c r="J529" s="89">
        <f t="shared" si="38"/>
        <v>0</v>
      </c>
      <c r="K529" s="89">
        <f t="shared" si="38"/>
        <v>0</v>
      </c>
      <c r="L529" s="89">
        <f t="shared" si="38"/>
        <v>298629.84999999998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37626</v>
      </c>
      <c r="I531" s="18"/>
      <c r="J531" s="18"/>
      <c r="K531" s="18"/>
      <c r="L531" s="88">
        <f>SUM(F531:K531)</f>
        <v>37626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47660</v>
      </c>
      <c r="I532" s="18"/>
      <c r="J532" s="18"/>
      <c r="K532" s="18"/>
      <c r="L532" s="88">
        <f>SUM(F532:K532)</f>
        <v>47660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40134</v>
      </c>
      <c r="I533" s="18"/>
      <c r="J533" s="18"/>
      <c r="K533" s="18"/>
      <c r="L533" s="88">
        <f>SUM(F533:K533)</f>
        <v>40134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>SUM(H531:H533)</f>
        <v>125420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125420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8313.8700000000008</v>
      </c>
      <c r="G541" s="18">
        <v>3614.38</v>
      </c>
      <c r="H541" s="18">
        <f>1694.39+2620.89</f>
        <v>4315.28</v>
      </c>
      <c r="I541" s="18">
        <v>1634.15</v>
      </c>
      <c r="J541" s="18"/>
      <c r="K541" s="18">
        <v>23.56</v>
      </c>
      <c r="L541" s="88">
        <f>SUM(F541:K541)</f>
        <v>17901.240000000002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9922.98</v>
      </c>
      <c r="G542" s="18">
        <v>4314.1499999999996</v>
      </c>
      <c r="H542" s="18">
        <f>2022.34+10690.91</f>
        <v>12713.25</v>
      </c>
      <c r="I542" s="18">
        <v>1950.42</v>
      </c>
      <c r="J542" s="18"/>
      <c r="K542" s="18">
        <v>28.12</v>
      </c>
      <c r="L542" s="88">
        <f>SUM(F542:K542)</f>
        <v>28928.919999999995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8581.19</v>
      </c>
      <c r="G543" s="18">
        <v>3731.41</v>
      </c>
      <c r="H543" s="18">
        <f>1749.07+23691.62</f>
        <v>25440.69</v>
      </c>
      <c r="I543" s="18">
        <v>1686.84</v>
      </c>
      <c r="J543" s="18"/>
      <c r="K543" s="18">
        <v>24.32</v>
      </c>
      <c r="L543" s="88">
        <f>SUM(F543:K543)</f>
        <v>39464.449999999997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26818.04</v>
      </c>
      <c r="G544" s="193">
        <f t="shared" ref="G544:L544" si="41">SUM(G541:G543)</f>
        <v>11659.939999999999</v>
      </c>
      <c r="H544" s="193">
        <f t="shared" si="41"/>
        <v>42469.22</v>
      </c>
      <c r="I544" s="193">
        <f t="shared" si="41"/>
        <v>5271.41</v>
      </c>
      <c r="J544" s="193">
        <f t="shared" si="41"/>
        <v>0</v>
      </c>
      <c r="K544" s="193">
        <f t="shared" si="41"/>
        <v>76</v>
      </c>
      <c r="L544" s="193">
        <f t="shared" si="41"/>
        <v>86294.609999999986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1064415.44</v>
      </c>
      <c r="G545" s="89">
        <f t="shared" ref="G545:L545" si="42">G524+G529+G534+G539+G544</f>
        <v>525933.23</v>
      </c>
      <c r="H545" s="89">
        <f t="shared" si="42"/>
        <v>1599953.6199999999</v>
      </c>
      <c r="I545" s="89">
        <f t="shared" si="42"/>
        <v>18149.59</v>
      </c>
      <c r="J545" s="89">
        <f t="shared" si="42"/>
        <v>1034</v>
      </c>
      <c r="K545" s="89">
        <f t="shared" si="42"/>
        <v>271</v>
      </c>
      <c r="L545" s="89">
        <f t="shared" si="42"/>
        <v>3209756.8800000004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398960.49000000005</v>
      </c>
      <c r="G549" s="87">
        <f>L526</f>
        <v>127323.44</v>
      </c>
      <c r="H549" s="87">
        <f>L531</f>
        <v>37626</v>
      </c>
      <c r="I549" s="87">
        <f>L536</f>
        <v>0</v>
      </c>
      <c r="J549" s="87">
        <f>L541</f>
        <v>17901.240000000002</v>
      </c>
      <c r="K549" s="87">
        <f>SUM(F549:J549)</f>
        <v>581811.17000000004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868995.87000000011</v>
      </c>
      <c r="G550" s="87">
        <f>L527</f>
        <v>101501.66</v>
      </c>
      <c r="H550" s="87">
        <f>L532</f>
        <v>47660</v>
      </c>
      <c r="I550" s="87">
        <f>L537</f>
        <v>0</v>
      </c>
      <c r="J550" s="87">
        <f>L542</f>
        <v>28928.919999999995</v>
      </c>
      <c r="K550" s="87">
        <f>SUM(F550:J550)</f>
        <v>1047086.4500000002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1431456.0600000003</v>
      </c>
      <c r="G551" s="87">
        <f>L528</f>
        <v>69804.75</v>
      </c>
      <c r="H551" s="87">
        <f>L533</f>
        <v>40134</v>
      </c>
      <c r="I551" s="87">
        <f>L538</f>
        <v>0</v>
      </c>
      <c r="J551" s="87">
        <f>L543</f>
        <v>39464.449999999997</v>
      </c>
      <c r="K551" s="87">
        <f>SUM(F551:J551)</f>
        <v>1580859.2600000002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2699412.4200000004</v>
      </c>
      <c r="G552" s="89">
        <f t="shared" si="43"/>
        <v>298629.84999999998</v>
      </c>
      <c r="H552" s="89">
        <f t="shared" si="43"/>
        <v>125420</v>
      </c>
      <c r="I552" s="89">
        <f t="shared" si="43"/>
        <v>0</v>
      </c>
      <c r="J552" s="89">
        <f t="shared" si="43"/>
        <v>86294.609999999986</v>
      </c>
      <c r="K552" s="89">
        <f t="shared" si="43"/>
        <v>3209756.8800000004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9840.92</v>
      </c>
      <c r="G557" s="18">
        <v>4892.05</v>
      </c>
      <c r="H557" s="18"/>
      <c r="I557" s="18"/>
      <c r="J557" s="18"/>
      <c r="K557" s="18"/>
      <c r="L557" s="88">
        <f>SUM(F557:K557)</f>
        <v>14732.970000000001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9840.92</v>
      </c>
      <c r="G560" s="108">
        <f t="shared" si="44"/>
        <v>4892.05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14732.970000000001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21094.16</v>
      </c>
      <c r="G567" s="18">
        <v>6981.63</v>
      </c>
      <c r="H567" s="18"/>
      <c r="I567" s="18"/>
      <c r="J567" s="18"/>
      <c r="K567" s="18"/>
      <c r="L567" s="88">
        <f>SUM(F567:K567)</f>
        <v>28075.79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21011.119999999999</v>
      </c>
      <c r="G568" s="18">
        <v>6959.05</v>
      </c>
      <c r="H568" s="18"/>
      <c r="I568" s="18"/>
      <c r="J568" s="18"/>
      <c r="K568" s="18"/>
      <c r="L568" s="88">
        <f>SUM(F568:K568)</f>
        <v>27970.17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11875.72</v>
      </c>
      <c r="G569" s="18">
        <v>3852.45</v>
      </c>
      <c r="H569" s="18"/>
      <c r="I569" s="18"/>
      <c r="J569" s="18"/>
      <c r="K569" s="18"/>
      <c r="L569" s="88">
        <f>SUM(F569:K569)</f>
        <v>15728.169999999998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53981</v>
      </c>
      <c r="G570" s="193">
        <f t="shared" ref="G570:L570" si="46">SUM(G567:G569)</f>
        <v>17793.13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71774.13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63821.919999999998</v>
      </c>
      <c r="G571" s="89">
        <f t="shared" ref="G571:L571" si="47">G560+G565+G570</f>
        <v>22685.18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86507.1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10990.62</v>
      </c>
      <c r="H575" s="18"/>
      <c r="I575" s="87">
        <f>SUM(F575:H575)</f>
        <v>10990.62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6864</v>
      </c>
      <c r="I580" s="87">
        <f t="shared" si="48"/>
        <v>6864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239333.43</v>
      </c>
      <c r="H582" s="18">
        <v>672493.4</v>
      </c>
      <c r="I582" s="87">
        <f t="shared" si="48"/>
        <v>911826.83000000007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285077.64</v>
      </c>
      <c r="I585" s="87">
        <f t="shared" si="48"/>
        <v>285077.64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96485.26</v>
      </c>
      <c r="I591" s="18">
        <v>115159.86</v>
      </c>
      <c r="J591" s="18">
        <v>99614.95</v>
      </c>
      <c r="K591" s="104">
        <f t="shared" ref="K591:K597" si="49">SUM(H591:J591)</f>
        <v>311260.07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17901.240000000002</v>
      </c>
      <c r="I592" s="18">
        <v>28928.92</v>
      </c>
      <c r="J592" s="18">
        <v>39464.449999999997</v>
      </c>
      <c r="K592" s="104">
        <f t="shared" si="49"/>
        <v>86294.61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17431.060000000001</v>
      </c>
      <c r="K593" s="104">
        <f t="shared" si="49"/>
        <v>17431.060000000001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2865.95</v>
      </c>
      <c r="J594" s="18">
        <v>23448.560000000001</v>
      </c>
      <c r="K594" s="104">
        <f t="shared" si="49"/>
        <v>26314.510000000002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1866.81</v>
      </c>
      <c r="I595" s="18">
        <v>7156.37</v>
      </c>
      <c r="J595" s="18">
        <v>1876.12</v>
      </c>
      <c r="K595" s="104">
        <f t="shared" si="49"/>
        <v>10899.3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7062.35</v>
      </c>
      <c r="I597" s="18">
        <v>8429.2099999999991</v>
      </c>
      <c r="J597" s="18">
        <v>7290.15</v>
      </c>
      <c r="K597" s="104">
        <f t="shared" si="49"/>
        <v>22781.71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123315.66</v>
      </c>
      <c r="I598" s="108">
        <f>SUM(I591:I597)</f>
        <v>162540.31</v>
      </c>
      <c r="J598" s="108">
        <f>SUM(J591:J597)</f>
        <v>189125.28999999998</v>
      </c>
      <c r="K598" s="108">
        <f>SUM(K591:K597)</f>
        <v>474981.26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10476.73</v>
      </c>
      <c r="I604" s="18">
        <f>31871.48+3578</f>
        <v>35449.479999999996</v>
      </c>
      <c r="J604" s="18">
        <v>27041.64</v>
      </c>
      <c r="K604" s="104">
        <f>SUM(H604:J604)</f>
        <v>72967.849999999991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10476.73</v>
      </c>
      <c r="I605" s="108">
        <f>SUM(I602:I604)</f>
        <v>35449.479999999996</v>
      </c>
      <c r="J605" s="108">
        <f>SUM(J602:J604)</f>
        <v>27041.64</v>
      </c>
      <c r="K605" s="108">
        <f>SUM(K602:K604)</f>
        <v>72967.849999999991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22409.24</v>
      </c>
      <c r="G611" s="18">
        <v>4428.47</v>
      </c>
      <c r="H611" s="18"/>
      <c r="I611" s="18">
        <v>30.32</v>
      </c>
      <c r="J611" s="18"/>
      <c r="K611" s="18"/>
      <c r="L611" s="88">
        <f>SUM(F611:K611)</f>
        <v>26868.030000000002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12867.81</v>
      </c>
      <c r="G612" s="18">
        <v>2110.52</v>
      </c>
      <c r="H612" s="18">
        <v>11803.06</v>
      </c>
      <c r="I612" s="18">
        <v>86.02</v>
      </c>
      <c r="J612" s="18"/>
      <c r="K612" s="18"/>
      <c r="L612" s="88">
        <f>SUM(F612:K612)</f>
        <v>26867.41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18372.330000000002</v>
      </c>
      <c r="G613" s="18">
        <v>2661.35</v>
      </c>
      <c r="H613" s="18">
        <f>2500+19713.79</f>
        <v>22213.79</v>
      </c>
      <c r="I613" s="18"/>
      <c r="J613" s="18"/>
      <c r="K613" s="18"/>
      <c r="L613" s="88">
        <f>SUM(F613:K613)</f>
        <v>43247.47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53649.380000000005</v>
      </c>
      <c r="G614" s="108">
        <f t="shared" si="50"/>
        <v>9200.34</v>
      </c>
      <c r="H614" s="108">
        <f t="shared" si="50"/>
        <v>34016.85</v>
      </c>
      <c r="I614" s="108">
        <f t="shared" si="50"/>
        <v>116.34</v>
      </c>
      <c r="J614" s="108">
        <f t="shared" si="50"/>
        <v>0</v>
      </c>
      <c r="K614" s="108">
        <f t="shared" si="50"/>
        <v>0</v>
      </c>
      <c r="L614" s="89">
        <f t="shared" si="50"/>
        <v>96982.91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524173.18999999994</v>
      </c>
      <c r="H617" s="109">
        <f>SUM(F52)</f>
        <v>524173.18999999994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23944.53</v>
      </c>
      <c r="H618" s="109">
        <f>SUM(G52)</f>
        <v>23944.53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151707.54</v>
      </c>
      <c r="H619" s="109">
        <f>SUM(H52)</f>
        <v>151707.54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74967.69</v>
      </c>
      <c r="H620" s="109">
        <f>SUM(I52)</f>
        <v>74967.69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415216.64000000001</v>
      </c>
      <c r="H621" s="109">
        <f>SUM(J52)</f>
        <v>415216.64000000001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362144.98</v>
      </c>
      <c r="H622" s="109">
        <f>F476</f>
        <v>362144.98000000231</v>
      </c>
      <c r="I622" s="121" t="s">
        <v>101</v>
      </c>
      <c r="J622" s="109">
        <f t="shared" ref="J622:J655" si="51">G622-H622</f>
        <v>-2.3283064365386963E-9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9051.25</v>
      </c>
      <c r="H624" s="109">
        <f>H476</f>
        <v>9051.25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74078.19</v>
      </c>
      <c r="H625" s="109">
        <f>I476</f>
        <v>74078.190000000031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393775.64</v>
      </c>
      <c r="H626" s="109">
        <f>J476</f>
        <v>393775.64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12952421.220000001</v>
      </c>
      <c r="H627" s="104">
        <f>SUM(F468)</f>
        <v>12952421.220000001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325149.42999999993</v>
      </c>
      <c r="H628" s="104">
        <f>SUM(G468)</f>
        <v>325149.43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441904.9</v>
      </c>
      <c r="H629" s="104">
        <f>SUM(H468)</f>
        <v>441904.9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268213</v>
      </c>
      <c r="H630" s="104">
        <f>SUM(I468)</f>
        <v>268213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75000</v>
      </c>
      <c r="H631" s="104">
        <f>SUM(J468)</f>
        <v>75000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12834602.370000001</v>
      </c>
      <c r="H632" s="104">
        <f>SUM(F472)</f>
        <v>12834602.369999999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438703.44999999995</v>
      </c>
      <c r="H633" s="104">
        <f>SUM(H472)</f>
        <v>438703.45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940.42000000000007</v>
      </c>
      <c r="H634" s="104">
        <f>I369</f>
        <v>940.42000000000007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344111.09</v>
      </c>
      <c r="H635" s="104">
        <f>SUM(G472)</f>
        <v>344111.09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196218.27</v>
      </c>
      <c r="H636" s="104">
        <f>SUM(I472)</f>
        <v>196218.27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75000</v>
      </c>
      <c r="H637" s="164">
        <f>SUM(J468)</f>
        <v>75000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21441</v>
      </c>
      <c r="H638" s="164">
        <f>SUM(J472)</f>
        <v>21441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415216.64000000001</v>
      </c>
      <c r="H640" s="104">
        <f>SUM(G461)</f>
        <v>415216.64000000001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415216.64000000001</v>
      </c>
      <c r="H642" s="104">
        <f>SUM(I461)</f>
        <v>415216.64000000001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75000</v>
      </c>
      <c r="H646" s="104">
        <f>L408</f>
        <v>75000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474981.26</v>
      </c>
      <c r="H647" s="104">
        <f>L208+L226+L244</f>
        <v>474981.26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72967.849999999991</v>
      </c>
      <c r="H648" s="104">
        <f>(J257+J338)-(J255+J336)</f>
        <v>72967.850000000006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123315.65999999999</v>
      </c>
      <c r="H649" s="104">
        <f>H598</f>
        <v>123315.66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162540.31</v>
      </c>
      <c r="H650" s="104">
        <f>I598</f>
        <v>162540.31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189125.29</v>
      </c>
      <c r="H651" s="104">
        <f>J598</f>
        <v>189125.28999999998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36419.47</v>
      </c>
      <c r="H652" s="104">
        <f>K263+K345</f>
        <v>36419.47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3281244.4600000004</v>
      </c>
      <c r="G660" s="19">
        <f>(L229+L309+L359)</f>
        <v>4485958.71</v>
      </c>
      <c r="H660" s="19">
        <f>(L247+L328+L360)</f>
        <v>5353971.07</v>
      </c>
      <c r="I660" s="19">
        <f>SUM(F660:H660)</f>
        <v>13121174.24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35073.030150654253</v>
      </c>
      <c r="G661" s="19">
        <f>(L359/IF(SUM(L358:L360)=0,1,SUM(L358:L360))*(SUM(G97:G110)))</f>
        <v>50901.395072999541</v>
      </c>
      <c r="H661" s="19">
        <f>(L360/IF(SUM(L358:L360)=0,1,SUM(L358:L360))*(SUM(G97:G110)))</f>
        <v>32837.124776346216</v>
      </c>
      <c r="I661" s="19">
        <f>SUM(F661:H661)</f>
        <v>118811.55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123315.65999999999</v>
      </c>
      <c r="G662" s="19">
        <f>(L226+L306)-(J226+J306)</f>
        <v>162540.31</v>
      </c>
      <c r="H662" s="19">
        <f>(L244+L325)-(J244+J325)</f>
        <v>192606.77000000002</v>
      </c>
      <c r="I662" s="19">
        <f>SUM(F662:H662)</f>
        <v>478462.74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37344.76</v>
      </c>
      <c r="G663" s="199">
        <f>SUM(G575:G587)+SUM(I602:I604)+L612</f>
        <v>312640.93999999994</v>
      </c>
      <c r="H663" s="199">
        <f>SUM(H575:H587)+SUM(J602:J604)+L613</f>
        <v>1034724.15</v>
      </c>
      <c r="I663" s="19">
        <f>SUM(F663:H663)</f>
        <v>1384709.85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3085511.0098493462</v>
      </c>
      <c r="G664" s="19">
        <f>G660-SUM(G661:G663)</f>
        <v>3959876.0649270006</v>
      </c>
      <c r="H664" s="19">
        <f>H660-SUM(H661:H663)</f>
        <v>4093803.0252236538</v>
      </c>
      <c r="I664" s="19">
        <f>I660-SUM(I661:I663)</f>
        <v>11139190.1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5.33+50.17+135.39</f>
        <v>190.89</v>
      </c>
      <c r="G665" s="248">
        <v>248.9</v>
      </c>
      <c r="H665" s="248">
        <v>240.5</v>
      </c>
      <c r="I665" s="19">
        <f>SUM(F665:H665)</f>
        <v>680.29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16163.82</v>
      </c>
      <c r="G667" s="19">
        <f>ROUND(G664/G665,2)</f>
        <v>15909.51</v>
      </c>
      <c r="H667" s="19">
        <f>ROUND(H664/H665,2)</f>
        <v>17022.05</v>
      </c>
      <c r="I667" s="19">
        <f>ROUND(I664/I665,2)</f>
        <v>16374.18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16163.82</v>
      </c>
      <c r="G672" s="19">
        <f>ROUND((G664+G669)/(G665+G670),2)</f>
        <v>15909.51</v>
      </c>
      <c r="H672" s="19">
        <f>ROUND((H664+H669)/(H665+H670),2)</f>
        <v>17022.05</v>
      </c>
      <c r="I672" s="19">
        <f>ROUND((I664+I669)/(I665+I670),2)</f>
        <v>16374.18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5"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Haverhill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3257854.4</v>
      </c>
      <c r="C9" s="229">
        <f>'DOE25'!G197+'DOE25'!G215+'DOE25'!G233+'DOE25'!G276+'DOE25'!G295+'DOE25'!G314</f>
        <v>1319585.76</v>
      </c>
    </row>
    <row r="10" spans="1:3" x14ac:dyDescent="0.2">
      <c r="A10" t="s">
        <v>779</v>
      </c>
      <c r="B10" s="240">
        <v>3180491.3</v>
      </c>
      <c r="C10" s="240">
        <f>+C9-C11</f>
        <v>1315845.54</v>
      </c>
    </row>
    <row r="11" spans="1:3" x14ac:dyDescent="0.2">
      <c r="A11" t="s">
        <v>780</v>
      </c>
      <c r="B11" s="240">
        <v>34906.639999999999</v>
      </c>
      <c r="C11" s="240">
        <v>3740.22</v>
      </c>
    </row>
    <row r="12" spans="1:3" x14ac:dyDescent="0.2">
      <c r="A12" t="s">
        <v>781</v>
      </c>
      <c r="B12" s="240">
        <f>56959.24-14502.78</f>
        <v>42456.46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3257854.4</v>
      </c>
      <c r="C13" s="231">
        <f>SUM(C10:C12)</f>
        <v>1319585.76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1184810.04</v>
      </c>
      <c r="C18" s="229">
        <f>'DOE25'!G198+'DOE25'!G216+'DOE25'!G234+'DOE25'!G277+'DOE25'!G296+'DOE25'!G315</f>
        <v>566450.91</v>
      </c>
    </row>
    <row r="19" spans="1:3" x14ac:dyDescent="0.2">
      <c r="A19" t="s">
        <v>779</v>
      </c>
      <c r="B19" s="240">
        <v>609208.92000000004</v>
      </c>
      <c r="C19" s="240">
        <f>+C18-C20</f>
        <v>513858.64</v>
      </c>
    </row>
    <row r="20" spans="1:3" x14ac:dyDescent="0.2">
      <c r="A20" t="s">
        <v>780</v>
      </c>
      <c r="B20" s="240">
        <v>542503.48</v>
      </c>
      <c r="C20" s="240">
        <v>52592.27</v>
      </c>
    </row>
    <row r="21" spans="1:3" x14ac:dyDescent="0.2">
      <c r="A21" t="s">
        <v>781</v>
      </c>
      <c r="B21" s="240">
        <v>33097.64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1184810.0399999998</v>
      </c>
      <c r="C22" s="231">
        <f>SUM(C19:C21)</f>
        <v>566450.91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232912.2</v>
      </c>
      <c r="C36" s="235">
        <f>'DOE25'!G200+'DOE25'!G218+'DOE25'!G236+'DOE25'!G279+'DOE25'!G298+'DOE25'!G317</f>
        <v>44334.61</v>
      </c>
    </row>
    <row r="37" spans="1:3" x14ac:dyDescent="0.2">
      <c r="A37" t="s">
        <v>779</v>
      </c>
      <c r="B37" s="240">
        <v>37487.199999999997</v>
      </c>
      <c r="C37" s="240">
        <f>+C36-C38</f>
        <v>38713.14</v>
      </c>
    </row>
    <row r="38" spans="1:3" x14ac:dyDescent="0.2">
      <c r="A38" t="s">
        <v>780</v>
      </c>
      <c r="B38" s="240">
        <f>11764.99+12929.68+40431.01</f>
        <v>65125.68</v>
      </c>
      <c r="C38" s="240">
        <v>5621.47</v>
      </c>
    </row>
    <row r="39" spans="1:3" x14ac:dyDescent="0.2">
      <c r="A39" t="s">
        <v>781</v>
      </c>
      <c r="B39" s="240">
        <v>130299.32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232912.2</v>
      </c>
      <c r="C40" s="231">
        <f>SUM(C37:C39)</f>
        <v>44334.61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2" sqref="F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Haverhill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8026122.8600000003</v>
      </c>
      <c r="D5" s="20">
        <f>SUM('DOE25'!L197:L200)+SUM('DOE25'!L215:L218)+SUM('DOE25'!L233:L236)-F5-G5</f>
        <v>7970116.7299999995</v>
      </c>
      <c r="E5" s="243"/>
      <c r="F5" s="255">
        <f>SUM('DOE25'!J197:J200)+SUM('DOE25'!J215:J218)+SUM('DOE25'!J233:J236)</f>
        <v>30086.15</v>
      </c>
      <c r="G5" s="53">
        <f>SUM('DOE25'!K197:K200)+SUM('DOE25'!K215:K218)+SUM('DOE25'!K233:K236)</f>
        <v>25919.98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1010838.1299999999</v>
      </c>
      <c r="D6" s="20">
        <f>'DOE25'!L202+'DOE25'!L220+'DOE25'!L238-F6-G6</f>
        <v>1006198.1599999999</v>
      </c>
      <c r="E6" s="243"/>
      <c r="F6" s="255">
        <f>'DOE25'!J202+'DOE25'!J220+'DOE25'!J238</f>
        <v>263.69</v>
      </c>
      <c r="G6" s="53">
        <f>'DOE25'!K202+'DOE25'!K220+'DOE25'!K238</f>
        <v>4376.28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349500.76</v>
      </c>
      <c r="D7" s="20">
        <f>'DOE25'!L203+'DOE25'!L221+'DOE25'!L239-F7-G7</f>
        <v>336956.58</v>
      </c>
      <c r="E7" s="243"/>
      <c r="F7" s="255">
        <f>'DOE25'!J203+'DOE25'!J221+'DOE25'!J239</f>
        <v>12544.18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284898.25000000012</v>
      </c>
      <c r="D8" s="243"/>
      <c r="E8" s="20">
        <f>'DOE25'!L204+'DOE25'!L222+'DOE25'!L240-F8-G8-D9-D11</f>
        <v>281125.63000000012</v>
      </c>
      <c r="F8" s="255">
        <f>'DOE25'!J204+'DOE25'!J222+'DOE25'!J240</f>
        <v>0</v>
      </c>
      <c r="G8" s="53">
        <f>'DOE25'!K204+'DOE25'!K222+'DOE25'!K240</f>
        <v>3772.62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72998.58</v>
      </c>
      <c r="D9" s="244">
        <v>72998.58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10098.5</v>
      </c>
      <c r="D10" s="243"/>
      <c r="E10" s="244">
        <v>10098.5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292175.73</v>
      </c>
      <c r="D11" s="244">
        <v>292175.73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806999.33</v>
      </c>
      <c r="D12" s="20">
        <f>'DOE25'!L205+'DOE25'!L223+'DOE25'!L241-F12-G12</f>
        <v>804041.34</v>
      </c>
      <c r="E12" s="243"/>
      <c r="F12" s="255">
        <f>'DOE25'!J205+'DOE25'!J223+'DOE25'!J241</f>
        <v>426.49</v>
      </c>
      <c r="G12" s="53">
        <f>'DOE25'!K205+'DOE25'!K223+'DOE25'!K241</f>
        <v>2531.5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902633.25</v>
      </c>
      <c r="D14" s="20">
        <f>'DOE25'!L207+'DOE25'!L225+'DOE25'!L243-F14-G14</f>
        <v>886533.38</v>
      </c>
      <c r="E14" s="243"/>
      <c r="F14" s="255">
        <f>'DOE25'!J207+'DOE25'!J225+'DOE25'!J243</f>
        <v>15874.869999999999</v>
      </c>
      <c r="G14" s="53">
        <f>'DOE25'!K207+'DOE25'!K225+'DOE25'!K243</f>
        <v>225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474981.26</v>
      </c>
      <c r="D15" s="20">
        <f>'DOE25'!L208+'DOE25'!L226+'DOE25'!L244-F15-G15</f>
        <v>474905.26</v>
      </c>
      <c r="E15" s="243"/>
      <c r="F15" s="255">
        <f>'DOE25'!J208+'DOE25'!J226+'DOE25'!J244</f>
        <v>0</v>
      </c>
      <c r="G15" s="53">
        <f>'DOE25'!K208+'DOE25'!K226+'DOE25'!K244</f>
        <v>76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117211.54999999999</v>
      </c>
      <c r="D16" s="243"/>
      <c r="E16" s="20">
        <f>'DOE25'!L209+'DOE25'!L227+'DOE25'!L245-F16-G16</f>
        <v>103364.07999999999</v>
      </c>
      <c r="F16" s="255">
        <f>'DOE25'!J209+'DOE25'!J227+'DOE25'!J245</f>
        <v>13772.470000000001</v>
      </c>
      <c r="G16" s="53">
        <f>'DOE25'!K209+'DOE25'!K227+'DOE25'!K245</f>
        <v>75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30188.74</v>
      </c>
      <c r="D19" s="20">
        <f>'DOE25'!L253-F19-G19</f>
        <v>30188.74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343116.46</v>
      </c>
      <c r="D25" s="243"/>
      <c r="E25" s="243"/>
      <c r="F25" s="258"/>
      <c r="G25" s="256"/>
      <c r="H25" s="257">
        <f>'DOE25'!L260+'DOE25'!L261+'DOE25'!L341+'DOE25'!L342</f>
        <v>343116.46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344111.09</v>
      </c>
      <c r="D29" s="20">
        <f>'DOE25'!L358+'DOE25'!L359+'DOE25'!L360-'DOE25'!I367-F29-G29</f>
        <v>339920.47000000003</v>
      </c>
      <c r="E29" s="243"/>
      <c r="F29" s="255">
        <f>'DOE25'!J358+'DOE25'!J359+'DOE25'!J360</f>
        <v>3540.62</v>
      </c>
      <c r="G29" s="53">
        <f>'DOE25'!K358+'DOE25'!K359+'DOE25'!K360</f>
        <v>650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438703.44999999995</v>
      </c>
      <c r="D31" s="20">
        <f>'DOE25'!L290+'DOE25'!L309+'DOE25'!L328+'DOE25'!L333+'DOE25'!L334+'DOE25'!L335-F31-G31</f>
        <v>429827.44999999995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8876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12643862.42</v>
      </c>
      <c r="E33" s="246">
        <f>SUM(E5:E31)</f>
        <v>394588.21000000008</v>
      </c>
      <c r="F33" s="246">
        <f>SUM(F5:F31)</f>
        <v>76508.47</v>
      </c>
      <c r="G33" s="246">
        <f>SUM(G5:G31)</f>
        <v>46502.38</v>
      </c>
      <c r="H33" s="246">
        <f>SUM(H5:H31)</f>
        <v>343116.46</v>
      </c>
    </row>
    <row r="35" spans="2:8" ht="12" thickBot="1" x14ac:dyDescent="0.25">
      <c r="B35" s="253" t="s">
        <v>847</v>
      </c>
      <c r="D35" s="254">
        <f>E33</f>
        <v>394588.21000000008</v>
      </c>
      <c r="E35" s="249"/>
    </row>
    <row r="36" spans="2:8" ht="12" thickTop="1" x14ac:dyDescent="0.2">
      <c r="B36" t="s">
        <v>815</v>
      </c>
      <c r="D36" s="20">
        <f>D33</f>
        <v>12643862.42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E47" sqref="E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338271.48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415216.64000000001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64612.800000000003</v>
      </c>
      <c r="D11" s="95">
        <f>'DOE25'!G12</f>
        <v>11441.9</v>
      </c>
      <c r="E11" s="95">
        <f>'DOE25'!H12</f>
        <v>0</v>
      </c>
      <c r="F11" s="95">
        <f>'DOE25'!I12</f>
        <v>66902.570000000007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89775.430000000022</v>
      </c>
      <c r="D12" s="95">
        <f>'DOE25'!G13</f>
        <v>12502.63</v>
      </c>
      <c r="E12" s="95">
        <f>'DOE25'!H13</f>
        <v>151707.54</v>
      </c>
      <c r="F12" s="95">
        <f>'DOE25'!I13</f>
        <v>8065.12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31483.48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524173.18999999994</v>
      </c>
      <c r="D18" s="41">
        <f>SUM(D8:D17)</f>
        <v>23944.53</v>
      </c>
      <c r="E18" s="41">
        <f>SUM(E8:E17)</f>
        <v>151707.54</v>
      </c>
      <c r="F18" s="41">
        <f>SUM(F8:F17)</f>
        <v>74967.69</v>
      </c>
      <c r="G18" s="41">
        <f>SUM(G8:G17)</f>
        <v>415216.64000000001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121516.27</v>
      </c>
      <c r="F21" s="95">
        <f>'DOE25'!I22</f>
        <v>0</v>
      </c>
      <c r="G21" s="95">
        <f>'DOE25'!J22</f>
        <v>21441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162028.21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21694.89</v>
      </c>
      <c r="E23" s="95">
        <f>'DOE25'!H24</f>
        <v>0</v>
      </c>
      <c r="F23" s="95">
        <f>'DOE25'!I24</f>
        <v>889.5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2249.64</v>
      </c>
      <c r="E28" s="95">
        <f>'DOE25'!H29</f>
        <v>16266.8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4873.22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162028.21</v>
      </c>
      <c r="D31" s="41">
        <f>SUM(D21:D30)</f>
        <v>23944.53</v>
      </c>
      <c r="E31" s="41">
        <f>SUM(E21:E30)</f>
        <v>142656.29</v>
      </c>
      <c r="F31" s="41">
        <f>SUM(F21:F30)</f>
        <v>889.5</v>
      </c>
      <c r="G31" s="41">
        <f>SUM(G21:G30)</f>
        <v>21441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31483.48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'DOE25'!H48</f>
        <v>8976.25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168451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8976.25</v>
      </c>
      <c r="F47" s="95">
        <f>'DOE25'!I48</f>
        <v>74078.19</v>
      </c>
      <c r="G47" s="95">
        <f>'DOE25'!J48</f>
        <v>393775.64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12636</v>
      </c>
      <c r="D48" s="95">
        <f>'DOE25'!G49</f>
        <v>0</v>
      </c>
      <c r="E48" s="95">
        <f>'DOE25'!H49</f>
        <v>75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49574.5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362144.98</v>
      </c>
      <c r="D50" s="41">
        <f>SUM(D34:D49)</f>
        <v>0</v>
      </c>
      <c r="E50" s="41">
        <f>SUM(E34:E49)</f>
        <v>18027.5</v>
      </c>
      <c r="F50" s="41">
        <f>SUM(F34:F49)</f>
        <v>74078.19</v>
      </c>
      <c r="G50" s="41">
        <f>SUM(G34:G49)</f>
        <v>393775.64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524173.18999999994</v>
      </c>
      <c r="D51" s="41">
        <f>D50+D31</f>
        <v>23944.53</v>
      </c>
      <c r="E51" s="41">
        <f>E50+E31</f>
        <v>160683.79</v>
      </c>
      <c r="F51" s="41">
        <f>F50+F31</f>
        <v>74967.69</v>
      </c>
      <c r="G51" s="41">
        <f>G50+G31</f>
        <v>415216.64000000001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5924194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1212126.48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34488.82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114987.95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83265.47</v>
      </c>
      <c r="D61" s="95">
        <f>SUM('DOE25'!G98:G110)</f>
        <v>3823.6</v>
      </c>
      <c r="E61" s="95">
        <f>SUM('DOE25'!H98:H110)</f>
        <v>81269.81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1329880.77</v>
      </c>
      <c r="D62" s="130">
        <f>SUM(D57:D61)</f>
        <v>118811.55</v>
      </c>
      <c r="E62" s="130">
        <f>SUM(E57:E61)</f>
        <v>81269.81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7254074.7699999996</v>
      </c>
      <c r="D63" s="22">
        <f>D56+D62</f>
        <v>118811.55</v>
      </c>
      <c r="E63" s="22">
        <f>E56+E62</f>
        <v>81269.81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4104789.9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813862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4918651.9000000004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191672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114313.5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111574.90000000001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27678.29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417560.4</v>
      </c>
      <c r="D78" s="130">
        <f>SUM(D72:D77)</f>
        <v>27678.29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5336212.3000000007</v>
      </c>
      <c r="D81" s="130">
        <f>SUM(D79:D80)+D78+D70</f>
        <v>27678.29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22807.43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360405.41</v>
      </c>
      <c r="D88" s="95">
        <f>SUM('DOE25'!G153:G161)</f>
        <v>119432.69</v>
      </c>
      <c r="E88" s="95">
        <f>SUM('DOE25'!H153:H161)</f>
        <v>360635.09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1728.74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362134.14999999997</v>
      </c>
      <c r="D91" s="131">
        <f>SUM(D85:D90)</f>
        <v>142240.12</v>
      </c>
      <c r="E91" s="131">
        <f>SUM(E85:E90)</f>
        <v>360635.09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268213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36419.47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36419.47</v>
      </c>
      <c r="E103" s="86">
        <f>SUM(E93:E102)</f>
        <v>0</v>
      </c>
      <c r="F103" s="86">
        <f>SUM(F93:F102)</f>
        <v>268213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12952421.220000001</v>
      </c>
      <c r="D104" s="86">
        <f>D63+D81+D91+D103</f>
        <v>325149.42999999993</v>
      </c>
      <c r="E104" s="86">
        <f>E63+E81+E91+E103</f>
        <v>441904.9</v>
      </c>
      <c r="F104" s="86">
        <f>F63+F81+F91+F103</f>
        <v>268213</v>
      </c>
      <c r="G104" s="86">
        <f>G63+G81+G103</f>
        <v>75000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4582600.7300000004</v>
      </c>
      <c r="D109" s="24" t="s">
        <v>289</v>
      </c>
      <c r="E109" s="95">
        <f>('DOE25'!L276)+('DOE25'!L295)+('DOE25'!L314)</f>
        <v>290525.61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2886152.6400000006</v>
      </c>
      <c r="D110" s="24" t="s">
        <v>289</v>
      </c>
      <c r="E110" s="95">
        <f>('DOE25'!L277)+('DOE25'!L296)+('DOE25'!L315)</f>
        <v>14732.970000000001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301077.64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256291.85</v>
      </c>
      <c r="D112" s="24" t="s">
        <v>289</v>
      </c>
      <c r="E112" s="95">
        <f>+('DOE25'!L279)+('DOE25'!L298)+('DOE25'!L317)</f>
        <v>114174.24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30188.74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8056311.6000000006</v>
      </c>
      <c r="D115" s="86">
        <f>SUM(D109:D114)</f>
        <v>0</v>
      </c>
      <c r="E115" s="86">
        <f>SUM(E109:E114)</f>
        <v>419432.81999999995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1010838.1299999999</v>
      </c>
      <c r="D118" s="24" t="s">
        <v>289</v>
      </c>
      <c r="E118" s="95">
        <f>+('DOE25'!L281)+('DOE25'!L300)+('DOE25'!L319)</f>
        <v>7308.35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349500.76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650072.56000000006</v>
      </c>
      <c r="D120" s="24" t="s">
        <v>289</v>
      </c>
      <c r="E120" s="95">
        <f>+('DOE25'!L283)+('DOE25'!L302)+('DOE25'!L321)</f>
        <v>5616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806999.33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902633.25</v>
      </c>
      <c r="D123" s="24" t="s">
        <v>289</v>
      </c>
      <c r="E123" s="95">
        <f>+('DOE25'!L286)+('DOE25'!L305)+('DOE25'!L324)</f>
        <v>2864.8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474981.26</v>
      </c>
      <c r="D124" s="24" t="s">
        <v>289</v>
      </c>
      <c r="E124" s="95">
        <f>+('DOE25'!L287)+('DOE25'!L306)+('DOE25'!L325)</f>
        <v>3481.48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117211.54999999999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344111.09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4312236.84</v>
      </c>
      <c r="D128" s="86">
        <f>SUM(D118:D127)</f>
        <v>344111.09</v>
      </c>
      <c r="E128" s="86">
        <f>SUM(E118:E127)</f>
        <v>19270.63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196218.27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328523.69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14592.77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21441</v>
      </c>
    </row>
    <row r="135" spans="1:7" x14ac:dyDescent="0.2">
      <c r="A135" t="s">
        <v>233</v>
      </c>
      <c r="B135" s="32" t="s">
        <v>234</v>
      </c>
      <c r="C135" s="95">
        <f>'DOE25'!L263</f>
        <v>36419.47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11518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466053.93000000005</v>
      </c>
      <c r="D144" s="141">
        <f>SUM(D130:D143)</f>
        <v>0</v>
      </c>
      <c r="E144" s="141">
        <f>SUM(E130:E143)</f>
        <v>0</v>
      </c>
      <c r="F144" s="141">
        <f>SUM(F130:F143)</f>
        <v>196218.27</v>
      </c>
      <c r="G144" s="141">
        <f>SUM(G130:G143)</f>
        <v>21441</v>
      </c>
    </row>
    <row r="145" spans="1:9" ht="12.75" thickTop="1" thickBot="1" x14ac:dyDescent="0.25">
      <c r="A145" s="33" t="s">
        <v>244</v>
      </c>
      <c r="C145" s="86">
        <f>(C115+C128+C144)</f>
        <v>12834602.370000001</v>
      </c>
      <c r="D145" s="86">
        <f>(D115+D128+D144)</f>
        <v>344111.09</v>
      </c>
      <c r="E145" s="86">
        <f>(E115+E128+E144)</f>
        <v>438703.44999999995</v>
      </c>
      <c r="F145" s="86">
        <f>(F115+F128+F144)</f>
        <v>196218.27</v>
      </c>
      <c r="G145" s="86">
        <f>(G115+G128+G144)</f>
        <v>21441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10</v>
      </c>
      <c r="E151" s="153">
        <f>'DOE25'!I490</f>
        <v>14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8/21/03</v>
      </c>
      <c r="C152" s="152" t="str">
        <f>'DOE25'!G491</f>
        <v>7/6/2005</v>
      </c>
      <c r="D152" s="152" t="str">
        <f>'DOE25'!H491</f>
        <v>3/2/2009</v>
      </c>
      <c r="E152" s="152" t="str">
        <f>'DOE25'!I491</f>
        <v>11/2008</v>
      </c>
      <c r="F152" s="152" t="str">
        <f>'DOE25'!J491</f>
        <v>2/2012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8/21/18</v>
      </c>
      <c r="C153" s="152" t="str">
        <f>'DOE25'!G492</f>
        <v>7/5/2021</v>
      </c>
      <c r="D153" s="152" t="str">
        <f>'DOE25'!H492</f>
        <v>3/1/2019</v>
      </c>
      <c r="E153" s="152" t="str">
        <f>'DOE25'!I492</f>
        <v>11/2022</v>
      </c>
      <c r="F153" s="152" t="str">
        <f>'DOE25'!J492</f>
        <v>2/2017</v>
      </c>
      <c r="G153" s="24" t="s">
        <v>289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1694000</v>
      </c>
      <c r="D154" s="137">
        <f>'DOE25'!H493</f>
        <v>605000</v>
      </c>
      <c r="E154" s="137">
        <f>'DOE25'!I493</f>
        <v>1498000</v>
      </c>
      <c r="F154" s="137">
        <f>'DOE25'!J493</f>
        <v>73535.149999999994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4.5</v>
      </c>
      <c r="E155" s="137">
        <f>'DOE25'!I494</f>
        <v>0</v>
      </c>
      <c r="F155" s="137">
        <f>'DOE25'!J494</f>
        <v>2.25</v>
      </c>
      <c r="G155" s="24" t="s">
        <v>289</v>
      </c>
    </row>
    <row r="156" spans="1:9" x14ac:dyDescent="0.2">
      <c r="A156" s="22" t="s">
        <v>32</v>
      </c>
      <c r="B156" s="137">
        <f>'DOE25'!F495</f>
        <v>166666.68</v>
      </c>
      <c r="C156" s="137">
        <f>'DOE25'!G495</f>
        <v>833466.67000000016</v>
      </c>
      <c r="D156" s="137">
        <f>'DOE25'!H495</f>
        <v>302500</v>
      </c>
      <c r="E156" s="137">
        <f>'DOE25'!I495</f>
        <v>963000</v>
      </c>
      <c r="F156" s="137">
        <f>'DOE25'!J495</f>
        <v>44021.09</v>
      </c>
      <c r="G156" s="138">
        <f>SUM(B156:F156)</f>
        <v>2309654.44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33333.33</v>
      </c>
      <c r="C158" s="137">
        <f>'DOE25'!G497</f>
        <v>112933.33</v>
      </c>
      <c r="D158" s="137">
        <f>'DOE25'!H497</f>
        <v>60500</v>
      </c>
      <c r="E158" s="137">
        <f>'DOE25'!I497</f>
        <v>107000</v>
      </c>
      <c r="F158" s="137">
        <f>'DOE25'!J497</f>
        <v>14757.03</v>
      </c>
      <c r="G158" s="138">
        <f t="shared" si="0"/>
        <v>328523.69000000006</v>
      </c>
    </row>
    <row r="159" spans="1:9" x14ac:dyDescent="0.2">
      <c r="A159" s="22" t="s">
        <v>35</v>
      </c>
      <c r="B159" s="137">
        <f>'DOE25'!F498</f>
        <v>133333.34999999998</v>
      </c>
      <c r="C159" s="137">
        <f>'DOE25'!G498</f>
        <v>720533.3400000002</v>
      </c>
      <c r="D159" s="137">
        <f>'DOE25'!H498</f>
        <v>242000</v>
      </c>
      <c r="E159" s="137">
        <f>'DOE25'!I498</f>
        <v>856000</v>
      </c>
      <c r="F159" s="137">
        <f>'DOE25'!J498</f>
        <v>29264.059999999998</v>
      </c>
      <c r="G159" s="138">
        <f t="shared" si="0"/>
        <v>1981130.7500000002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133333.34999999998</v>
      </c>
      <c r="C161" s="137">
        <f>'DOE25'!G500</f>
        <v>720533.3400000002</v>
      </c>
      <c r="D161" s="137">
        <f>'DOE25'!H500</f>
        <v>242000</v>
      </c>
      <c r="E161" s="137">
        <f>'DOE25'!I500</f>
        <v>856000</v>
      </c>
      <c r="F161" s="137">
        <f>'DOE25'!J500</f>
        <v>29264.059999999998</v>
      </c>
      <c r="G161" s="138">
        <f t="shared" si="0"/>
        <v>1981130.7500000002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Haverhill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16164</v>
      </c>
    </row>
    <row r="5" spans="1:4" x14ac:dyDescent="0.2">
      <c r="B5" t="s">
        <v>704</v>
      </c>
      <c r="C5" s="179">
        <f>IF('DOE25'!G665+'DOE25'!G670=0,0,ROUND('DOE25'!G672,0))</f>
        <v>15910</v>
      </c>
    </row>
    <row r="6" spans="1:4" x14ac:dyDescent="0.2">
      <c r="B6" t="s">
        <v>62</v>
      </c>
      <c r="C6" s="179">
        <f>IF('DOE25'!H665+'DOE25'!H670=0,0,ROUND('DOE25'!H672,0))</f>
        <v>17022</v>
      </c>
    </row>
    <row r="7" spans="1:4" x14ac:dyDescent="0.2">
      <c r="B7" t="s">
        <v>705</v>
      </c>
      <c r="C7" s="179">
        <f>IF('DOE25'!I665+'DOE25'!I670=0,0,ROUND('DOE25'!I672,0))</f>
        <v>16374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4873126</v>
      </c>
      <c r="D10" s="182">
        <f>ROUND((C10/$C$28)*100,1)</f>
        <v>37.299999999999997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2900886</v>
      </c>
      <c r="D11" s="182">
        <f>ROUND((C11/$C$28)*100,1)</f>
        <v>22.2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301078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370466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1018146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349501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772900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806999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905498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478463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30189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14593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11518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225299.45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13058662.449999999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196218</v>
      </c>
    </row>
    <row r="30" spans="1:4" x14ac:dyDescent="0.2">
      <c r="B30" s="187" t="s">
        <v>729</v>
      </c>
      <c r="C30" s="180">
        <f>SUM(C28:C29)</f>
        <v>13254880.449999999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328524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5924194</v>
      </c>
      <c r="D35" s="182">
        <f t="shared" ref="D35:D40" si="1">ROUND((C35/$C$41)*100,1)</f>
        <v>43.7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1411150.58</v>
      </c>
      <c r="D36" s="182">
        <f t="shared" si="1"/>
        <v>10.4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4918652</v>
      </c>
      <c r="D37" s="182">
        <f t="shared" si="1"/>
        <v>36.299999999999997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445239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865009</v>
      </c>
      <c r="D39" s="182">
        <f t="shared" si="1"/>
        <v>6.4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13564244.58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268213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Haverhill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2015-10-23T11:59:46Z</cp:lastPrinted>
  <dcterms:created xsi:type="dcterms:W3CDTF">1997-12-04T19:04:30Z</dcterms:created>
  <dcterms:modified xsi:type="dcterms:W3CDTF">2015-11-03T20:04:41Z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