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68" i="1" l="1"/>
  <c r="F128" i="1"/>
  <c r="F118" i="1" l="1"/>
  <c r="F57" i="1"/>
  <c r="J604" i="1" l="1"/>
  <c r="F498" i="1" l="1"/>
  <c r="G472" i="1"/>
  <c r="H472" i="1"/>
  <c r="F472" i="1"/>
  <c r="J468" i="1"/>
  <c r="G46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E8" i="13" s="1"/>
  <c r="C8" i="13" s="1"/>
  <c r="L204" i="1"/>
  <c r="L222" i="1"/>
  <c r="L240" i="1"/>
  <c r="D39" i="13"/>
  <c r="F13" i="13"/>
  <c r="G13" i="13"/>
  <c r="L206" i="1"/>
  <c r="L224" i="1"/>
  <c r="C122" i="2" s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C118" i="2" s="1"/>
  <c r="L238" i="1"/>
  <c r="F7" i="13"/>
  <c r="G7" i="13"/>
  <c r="L203" i="1"/>
  <c r="C16" i="10" s="1"/>
  <c r="L221" i="1"/>
  <c r="L239" i="1"/>
  <c r="F12" i="13"/>
  <c r="G12" i="13"/>
  <c r="D12" i="13" s="1"/>
  <c r="C12" i="13" s="1"/>
  <c r="L205" i="1"/>
  <c r="L223" i="1"/>
  <c r="L241" i="1"/>
  <c r="C121" i="2" s="1"/>
  <c r="F14" i="13"/>
  <c r="G14" i="13"/>
  <c r="L207" i="1"/>
  <c r="L225" i="1"/>
  <c r="L243" i="1"/>
  <c r="F15" i="13"/>
  <c r="G15" i="13"/>
  <c r="L208" i="1"/>
  <c r="L226" i="1"/>
  <c r="C21" i="10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90" i="1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1" i="10"/>
  <c r="C12" i="10"/>
  <c r="C17" i="10"/>
  <c r="L250" i="1"/>
  <c r="L332" i="1"/>
  <c r="L254" i="1"/>
  <c r="L268" i="1"/>
  <c r="L269" i="1"/>
  <c r="L349" i="1"/>
  <c r="L350" i="1"/>
  <c r="I665" i="1"/>
  <c r="I670" i="1"/>
  <c r="F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E31" i="2" s="1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E62" i="2" s="1"/>
  <c r="E63" i="2" s="1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E81" i="2" s="1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5" i="2" s="1"/>
  <c r="C110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E119" i="2"/>
  <c r="C120" i="2"/>
  <c r="E120" i="2"/>
  <c r="E121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K257" i="1" s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F461" i="1"/>
  <c r="G461" i="1"/>
  <c r="H461" i="1"/>
  <c r="G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8" i="1"/>
  <c r="H630" i="1"/>
  <c r="H631" i="1"/>
  <c r="H632" i="1"/>
  <c r="H633" i="1"/>
  <c r="G634" i="1"/>
  <c r="H635" i="1"/>
  <c r="H636" i="1"/>
  <c r="H637" i="1"/>
  <c r="H638" i="1"/>
  <c r="G639" i="1"/>
  <c r="H639" i="1"/>
  <c r="H640" i="1"/>
  <c r="G641" i="1"/>
  <c r="H641" i="1"/>
  <c r="G643" i="1"/>
  <c r="H643" i="1"/>
  <c r="G644" i="1"/>
  <c r="H644" i="1"/>
  <c r="H645" i="1"/>
  <c r="G651" i="1"/>
  <c r="G652" i="1"/>
  <c r="H652" i="1"/>
  <c r="G653" i="1"/>
  <c r="H653" i="1"/>
  <c r="G654" i="1"/>
  <c r="H654" i="1"/>
  <c r="H655" i="1"/>
  <c r="F192" i="1"/>
  <c r="L256" i="1"/>
  <c r="G257" i="1"/>
  <c r="G271" i="1" s="1"/>
  <c r="G164" i="2"/>
  <c r="C26" i="10"/>
  <c r="L328" i="1"/>
  <c r="L351" i="1"/>
  <c r="A31" i="12"/>
  <c r="A40" i="12"/>
  <c r="D18" i="13"/>
  <c r="C18" i="13" s="1"/>
  <c r="D18" i="2"/>
  <c r="D17" i="13"/>
  <c r="C17" i="13" s="1"/>
  <c r="C91" i="2"/>
  <c r="F78" i="2"/>
  <c r="F81" i="2" s="1"/>
  <c r="D50" i="2"/>
  <c r="G157" i="2"/>
  <c r="F18" i="2"/>
  <c r="G161" i="2"/>
  <c r="G156" i="2"/>
  <c r="E103" i="2"/>
  <c r="D91" i="2"/>
  <c r="G62" i="2"/>
  <c r="D19" i="13"/>
  <c r="C19" i="13" s="1"/>
  <c r="L427" i="1"/>
  <c r="H112" i="1"/>
  <c r="J641" i="1"/>
  <c r="J639" i="1"/>
  <c r="K605" i="1"/>
  <c r="G648" i="1" s="1"/>
  <c r="J571" i="1"/>
  <c r="K571" i="1"/>
  <c r="L433" i="1"/>
  <c r="L419" i="1"/>
  <c r="D81" i="2"/>
  <c r="I169" i="1"/>
  <c r="H169" i="1"/>
  <c r="J644" i="1"/>
  <c r="J643" i="1"/>
  <c r="I476" i="1"/>
  <c r="H625" i="1" s="1"/>
  <c r="J625" i="1" s="1"/>
  <c r="G338" i="1"/>
  <c r="G352" i="1" s="1"/>
  <c r="J140" i="1"/>
  <c r="F571" i="1"/>
  <c r="I552" i="1"/>
  <c r="G22" i="2"/>
  <c r="J552" i="1"/>
  <c r="C29" i="10"/>
  <c r="H140" i="1"/>
  <c r="L401" i="1"/>
  <c r="C139" i="2" s="1"/>
  <c r="L393" i="1"/>
  <c r="F22" i="13"/>
  <c r="C22" i="13" s="1"/>
  <c r="H571" i="1"/>
  <c r="L560" i="1"/>
  <c r="F338" i="1"/>
  <c r="F352" i="1" s="1"/>
  <c r="G192" i="1"/>
  <c r="H192" i="1"/>
  <c r="E128" i="2"/>
  <c r="C35" i="10"/>
  <c r="L309" i="1"/>
  <c r="E16" i="13"/>
  <c r="J655" i="1"/>
  <c r="L570" i="1"/>
  <c r="I571" i="1"/>
  <c r="J636" i="1"/>
  <c r="G36" i="2"/>
  <c r="L565" i="1"/>
  <c r="H545" i="1"/>
  <c r="C138" i="2"/>
  <c r="C16" i="13"/>
  <c r="C78" i="2" l="1"/>
  <c r="J651" i="1"/>
  <c r="K598" i="1"/>
  <c r="G647" i="1" s="1"/>
  <c r="I545" i="1"/>
  <c r="K551" i="1"/>
  <c r="L544" i="1"/>
  <c r="G545" i="1"/>
  <c r="G552" i="1"/>
  <c r="L529" i="1"/>
  <c r="K549" i="1"/>
  <c r="H552" i="1"/>
  <c r="L534" i="1"/>
  <c r="F552" i="1"/>
  <c r="K550" i="1"/>
  <c r="L524" i="1"/>
  <c r="K503" i="1"/>
  <c r="G476" i="1"/>
  <c r="H623" i="1" s="1"/>
  <c r="J623" i="1" s="1"/>
  <c r="J640" i="1"/>
  <c r="I460" i="1"/>
  <c r="I461" i="1" s="1"/>
  <c r="H642" i="1" s="1"/>
  <c r="I446" i="1"/>
  <c r="G642" i="1" s="1"/>
  <c r="J634" i="1"/>
  <c r="D29" i="13"/>
  <c r="C29" i="13" s="1"/>
  <c r="L362" i="1"/>
  <c r="G635" i="1" s="1"/>
  <c r="J635" i="1" s="1"/>
  <c r="H661" i="1"/>
  <c r="D127" i="2"/>
  <c r="D128" i="2" s="1"/>
  <c r="D145" i="2" s="1"/>
  <c r="G661" i="1"/>
  <c r="F661" i="1"/>
  <c r="J338" i="1"/>
  <c r="J352" i="1" s="1"/>
  <c r="H338" i="1"/>
  <c r="H352" i="1" s="1"/>
  <c r="K271" i="1"/>
  <c r="H25" i="13"/>
  <c r="C25" i="13" s="1"/>
  <c r="J257" i="1"/>
  <c r="J271" i="1" s="1"/>
  <c r="D14" i="13"/>
  <c r="C14" i="13" s="1"/>
  <c r="C20" i="10"/>
  <c r="L247" i="1"/>
  <c r="H660" i="1"/>
  <c r="H664" i="1" s="1"/>
  <c r="H667" i="1" s="1"/>
  <c r="I257" i="1"/>
  <c r="I271" i="1" s="1"/>
  <c r="C19" i="10"/>
  <c r="H647" i="1"/>
  <c r="G650" i="1"/>
  <c r="D15" i="13"/>
  <c r="C15" i="13" s="1"/>
  <c r="G662" i="1"/>
  <c r="I662" i="1" s="1"/>
  <c r="L229" i="1"/>
  <c r="G660" i="1" s="1"/>
  <c r="H257" i="1"/>
  <c r="H271" i="1" s="1"/>
  <c r="C123" i="2"/>
  <c r="C18" i="10"/>
  <c r="C15" i="10"/>
  <c r="C13" i="10"/>
  <c r="F257" i="1"/>
  <c r="F271" i="1" s="1"/>
  <c r="C10" i="10"/>
  <c r="E13" i="13"/>
  <c r="C13" i="13" s="1"/>
  <c r="G649" i="1"/>
  <c r="J649" i="1" s="1"/>
  <c r="C124" i="2"/>
  <c r="D7" i="13"/>
  <c r="C7" i="13" s="1"/>
  <c r="C119" i="2"/>
  <c r="D6" i="13"/>
  <c r="C6" i="13" s="1"/>
  <c r="L211" i="1"/>
  <c r="C112" i="2"/>
  <c r="C115" i="2" s="1"/>
  <c r="D5" i="13"/>
  <c r="C5" i="13" s="1"/>
  <c r="G645" i="1"/>
  <c r="J645" i="1" s="1"/>
  <c r="C81" i="2"/>
  <c r="C62" i="2"/>
  <c r="C63" i="2" s="1"/>
  <c r="F112" i="1"/>
  <c r="C36" i="10" s="1"/>
  <c r="H52" i="1"/>
  <c r="H619" i="1" s="1"/>
  <c r="J619" i="1" s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E104" i="2"/>
  <c r="I663" i="1"/>
  <c r="G629" i="1" l="1"/>
  <c r="H468" i="1"/>
  <c r="F193" i="1"/>
  <c r="J647" i="1"/>
  <c r="K552" i="1"/>
  <c r="L545" i="1"/>
  <c r="H646" i="1"/>
  <c r="J646" i="1" s="1"/>
  <c r="C27" i="10"/>
  <c r="C28" i="10" s="1"/>
  <c r="D22" i="10" s="1"/>
  <c r="I661" i="1"/>
  <c r="D31" i="13"/>
  <c r="C31" i="13" s="1"/>
  <c r="H33" i="13"/>
  <c r="H648" i="1"/>
  <c r="J648" i="1" s="1"/>
  <c r="G664" i="1"/>
  <c r="G672" i="1" s="1"/>
  <c r="C5" i="10" s="1"/>
  <c r="L257" i="1"/>
  <c r="L271" i="1" s="1"/>
  <c r="G632" i="1" s="1"/>
  <c r="J632" i="1" s="1"/>
  <c r="C128" i="2"/>
  <c r="C145" i="2" s="1"/>
  <c r="E33" i="13"/>
  <c r="D35" i="13" s="1"/>
  <c r="F660" i="1"/>
  <c r="F664" i="1" s="1"/>
  <c r="C104" i="2"/>
  <c r="H672" i="1"/>
  <c r="C6" i="10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29" i="1" l="1"/>
  <c r="J629" i="1" s="1"/>
  <c r="H470" i="1"/>
  <c r="H476" i="1" s="1"/>
  <c r="H624" i="1" s="1"/>
  <c r="J624" i="1" s="1"/>
  <c r="G627" i="1"/>
  <c r="F468" i="1"/>
  <c r="D33" i="13"/>
  <c r="D36" i="13" s="1"/>
  <c r="G667" i="1"/>
  <c r="D26" i="10"/>
  <c r="D16" i="10"/>
  <c r="D20" i="10"/>
  <c r="D15" i="10"/>
  <c r="D25" i="10"/>
  <c r="D19" i="10"/>
  <c r="D27" i="10"/>
  <c r="D18" i="10"/>
  <c r="D17" i="10"/>
  <c r="D12" i="10"/>
  <c r="D24" i="10"/>
  <c r="D10" i="10"/>
  <c r="C30" i="10"/>
  <c r="D23" i="10"/>
  <c r="D13" i="10"/>
  <c r="D11" i="10"/>
  <c r="D21" i="10"/>
  <c r="F672" i="1"/>
  <c r="C4" i="10" s="1"/>
  <c r="F667" i="1"/>
  <c r="I660" i="1"/>
  <c r="I664" i="1" s="1"/>
  <c r="I672" i="1" s="1"/>
  <c r="C7" i="10" s="1"/>
  <c r="C41" i="10"/>
  <c r="D38" i="10" s="1"/>
  <c r="F470" i="1" l="1"/>
  <c r="F476" i="1" s="1"/>
  <c r="H622" i="1" s="1"/>
  <c r="H627" i="1"/>
  <c r="J627" i="1" s="1"/>
  <c r="D28" i="10"/>
  <c r="I667" i="1"/>
  <c r="D37" i="10"/>
  <c r="D36" i="10"/>
  <c r="D35" i="10"/>
  <c r="D40" i="10"/>
  <c r="D39" i="10"/>
  <c r="J622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<sst xmlns="http://schemas.openxmlformats.org/spreadsheetml/2006/main" count="3956" uniqueCount="914">
  <si>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</si>
  <si>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</si>
  <si>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</si>
  <si>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</si>
  <si>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</si>
  <si>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</si>
  <si>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</si>
  <si>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</si>
  <si>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</si>
  <si>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</si>
  <si>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</si>
  <si>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</si>
  <si>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</si>
  <si>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</si>
  <si>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</si>
  <si>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</si>
  <si>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</si>
  <si>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</si>
  <si>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</si>
  <si>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</si>
  <si>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</si>
  <si>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</si>
  <si>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</si>
  <si>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</si>
  <si>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</si>
  <si>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</si>
  <si>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</si>
  <si>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</si>
  <si>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</si>
  <si>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</si>
  <si>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</si>
  <si>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</si>
  <si>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</si>
  <si>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</si>
  <si>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</si>
  <si>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</si>
  <si>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</si>
  <si>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</si>
  <si>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</si>
  <si>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</si>
  <si>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</si>
  <si>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</si>
  <si>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</si>
  <si>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</si>
  <si>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</si>
  <si>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</si>
  <si>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</si>
  <si>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</si>
  <si>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</si>
  <si>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</si>
  <si>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</si>
  <si>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</si>
  <si>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</si>
  <si>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</si>
  <si>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</si>
  <si>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</si>
  <si>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</si>
  <si>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</si>
  <si>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</si>
  <si>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</si>
  <si>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</si>
  <si>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</si>
  <si>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</si>
  <si>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</si>
  <si>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</si>
  <si>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</si>
  <si>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</si>
  <si>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</si>
  <si>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</si>
  <si>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</si>
  <si>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</si>
  <si>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</si>
  <si>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</si>
  <si>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</si>
  <si>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</si>
  <si>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</si>
  <si>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</si>
  <si>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</si>
  <si>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</si>
  <si>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</si>
  <si>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</si>
  <si>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</si>
  <si>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</si>
  <si>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</si>
  <si>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</si>
  <si>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</si>
  <si>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</si>
  <si>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</si>
  <si>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</si>
  <si>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</si>
  <si>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</si>
  <si>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</si>
  <si>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</si>
  <si>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</si>
  <si>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</si>
  <si>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</si>
  <si>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</si>
  <si>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</si>
  <si>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</si>
  <si>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</si>
  <si>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</si>
  <si>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</si>
  <si>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</si>
  <si>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</si>
  <si>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</si>
  <si>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</si>
  <si>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</si>
  <si>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</si>
  <si>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</si>
  <si>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</si>
  <si>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</si>
  <si>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</si>
  <si>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</si>
  <si>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</si>
  <si>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</si>
  <si>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</si>
  <si>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</si>
  <si>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</si>
  <si>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</si>
  <si>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</si>
  <si>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</si>
  <si>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</si>
  <si>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</si>
  <si>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</si>
  <si>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</si>
  <si>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</si>
  <si>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</si>
  <si>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</si>
  <si>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</si>
  <si>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</si>
  <si>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</si>
  <si>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</si>
  <si>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</si>
  <si>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</si>
  <si>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</si>
  <si>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</si>
  <si>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</si>
  <si>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</si>
  <si>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</si>
  <si>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</si>
  <si>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</si>
  <si>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</si>
  <si>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</si>
  <si>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</si>
  <si>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</si>
  <si>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</si>
  <si>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</si>
  <si>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</si>
  <si>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</si>
  <si>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</si>
  <si>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</si>
  <si>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</si>
  <si>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</si>
  <si>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</si>
  <si>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</si>
  <si>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</si>
  <si>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</si>
  <si>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</si>
  <si>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</si>
  <si>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</si>
  <si>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</si>
  <si>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</si>
  <si>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</si>
  <si>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</si>
  <si>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</si>
  <si>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</si>
  <si>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</si>
  <si>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</si>
  <si>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</si>
  <si>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</si>
  <si>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</si>
  <si>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</si>
  <si>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</si>
  <si>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</si>
  <si>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</si>
  <si>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</si>
  <si>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</si>
  <si>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</si>
  <si>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</si>
  <si>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</si>
  <si>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</si>
  <si>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</si>
  <si>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</si>
  <si>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</si>
  <si>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</si>
  <si>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</si>
  <si>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</si>
  <si>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</si>
  <si>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</si>
  <si>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</si>
  <si>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</si>
  <si>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</si>
  <si>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</si>
  <si>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</si>
  <si>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</si>
  <si>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</si>
  <si>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</si>
  <si>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</si>
  <si>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</si>
  <si>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</si>
  <si>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</si>
  <si>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</si>
  <si>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</si>
  <si>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</si>
  <si>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</si>
  <si>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</si>
  <si>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</si>
  <si>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</si>
  <si>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</si>
  <si>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</si>
  <si>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</si>
  <si>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</si>
  <si>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</si>
  <si>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</si>
  <si>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</si>
  <si>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</si>
  <si>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</si>
  <si>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</si>
  <si>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</si>
  <si>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</si>
  <si>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</si>
  <si>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</si>
  <si>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</si>
  <si>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</si>
  <si>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</si>
  <si>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</si>
  <si>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</si>
  <si>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</si>
  <si>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</si>
  <si>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</si>
  <si>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</si>
  <si>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</si>
  <si>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</si>
  <si>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</si>
  <si>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</si>
  <si>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</si>
  <si>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</si>
  <si>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</si>
  <si>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</si>
  <si>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</si>
  <si>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</si>
  <si>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</si>
  <si>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</si>
  <si>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</si>
  <si>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</si>
  <si>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</si>
  <si>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</si>
  <si>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</si>
  <si>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</si>
  <si>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</si>
  <si>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</si>
  <si>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</si>
  <si>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</si>
  <si>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</si>
  <si>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</si>
  <si>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</si>
  <si>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</si>
  <si>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</si>
  <si>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</si>
  <si>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</si>
  <si>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</si>
  <si>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</si>
  <si>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</si>
  <si>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</si>
  <si>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</si>
  <si>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</si>
  <si>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</si>
  <si>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</si>
  <si>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</si>
  <si>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</si>
  <si>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</si>
  <si>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</si>
  <si>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</si>
  <si>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</si>
  <si>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</si>
  <si>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</si>
  <si>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</si>
  <si>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</si>
  <si>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</si>
  <si>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</si>
  <si>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</si>
  <si>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</si>
  <si>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</si>
  <si>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</si>
  <si>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</si>
  <si>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</si>
  <si>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</si>
  <si>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</si>
  <si>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</si>
  <si>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</si>
  <si>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</si>
  <si>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</si>
  <si>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</si>
  <si>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</si>
  <si>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</si>
  <si>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</si>
  <si>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</si>
  <si>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</si>
  <si>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</si>
  <si>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</si>
  <si>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</si>
  <si>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</si>
  <si>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</si>
  <si>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</si>
  <si>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</si>
  <si>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</si>
  <si>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</si>
  <si>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</si>
  <si>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</si>
  <si>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</si>
  <si>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</si>
  <si>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</si>
  <si>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</si>
  <si>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</si>
  <si>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</si>
  <si>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</si>
  <si>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</si>
  <si>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</si>
  <si>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</si>
  <si>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</si>
  <si>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</si>
  <si>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</si>
  <si>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</si>
  <si>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</si>
  <si>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</si>
  <si>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</si>
  <si>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</si>
  <si>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</si>
  <si>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</si>
  <si>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</si>
  <si>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</si>
  <si>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</si>
  <si>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</si>
  <si>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</si>
  <si>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</si>
  <si>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</si>
  <si>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</si>
  <si>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</si>
  <si>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</si>
  <si>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</si>
  <si>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</si>
  <si>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</si>
  <si>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</si>
  <si>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</si>
  <si>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</si>
  <si>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</si>
  <si>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</si>
  <si>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</si>
  <si>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</si>
  <si>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</si>
  <si>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</si>
  <si>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</si>
  <si>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</si>
  <si>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</si>
  <si>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</si>
  <si>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</si>
  <si>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</si>
  <si>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</si>
  <si>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</si>
  <si>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</si>
  <si>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</si>
  <si>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</si>
  <si>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</si>
  <si>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</si>
  <si>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</si>
  <si>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</si>
  <si>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</si>
  <si>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</si>
  <si>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</si>
  <si>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</si>
  <si>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</si>
  <si>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</si>
  <si>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</si>
  <si>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</si>
  <si>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</si>
  <si>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</si>
  <si>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</si>
  <si>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</si>
  <si>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</si>
  <si>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</si>
  <si>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</si>
  <si>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</si>
  <si>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</si>
  <si>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</si>
  <si>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</si>
  <si>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</si>
  <si>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</si>
  <si>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</si>
  <si>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</si>
  <si>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</si>
  <si>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</si>
  <si>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</si>
  <si>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</si>
  <si>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</si>
  <si>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</si>
  <si>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</si>
  <si>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</si>
  <si>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</si>
  <si>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</si>
  <si>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</si>
  <si>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</si>
  <si>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</si>
  <si>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</si>
  <si>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</si>
  <si>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</si>
  <si>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</si>
  <si>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</si>
  <si>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</si>
  <si>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</si>
  <si>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</si>
  <si>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</si>
  <si>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</si>
  <si>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</si>
  <si>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</si>
  <si>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</si>
  <si>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</si>
  <si>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</si>
  <si>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</si>
  <si>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</si>
  <si>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</si>
  <si>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</si>
  <si>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</si>
  <si>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</si>
  <si>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</si>
  <si>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</si>
  <si>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</si>
  <si>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</si>
  <si>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</si>
  <si>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</si>
  <si>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</si>
  <si>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</si>
  <si>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</si>
  <si>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</si>
  <si>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</si>
  <si>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</si>
  <si>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</si>
  <si>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</si>
  <si>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</si>
  <si>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</si>
  <si>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</si>
  <si>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</si>
  <si>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</si>
  <si>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</si>
  <si>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</si>
  <si>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</si>
  <si>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</si>
  <si>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</si>
  <si>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</si>
  <si>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</si>
  <si>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</si>
  <si>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</si>
  <si>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</si>
  <si>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</si>
  <si>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</si>
  <si>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</si>
  <si>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</si>
  <si>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</si>
  <si>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</si>
  <si>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</si>
  <si>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</si>
  <si>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</si>
  <si>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</si>
  <si>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</si>
  <si>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</si>
  <si>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</si>
  <si>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</si>
  <si>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</si>
  <si>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</si>
  <si>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</si>
  <si>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</si>
  <si>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</si>
  <si>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</si>
  <si>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</si>
  <si>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</si>
  <si>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</si>
  <si>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</si>
  <si>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</si>
  <si>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</si>
  <si>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</si>
  <si>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</si>
  <si>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</si>
  <si>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</si>
  <si>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</si>
  <si>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</si>
  <si>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</si>
  <si>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</si>
  <si>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</si>
  <si>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</si>
  <si>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</si>
  <si>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</si>
  <si>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</si>
  <si>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</si>
  <si>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</si>
  <si>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</si>
  <si>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</si>
  <si>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</si>
  <si>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</si>
  <si>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</si>
  <si>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</si>
  <si>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</si>
  <si>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</si>
  <si>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</si>
  <si>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</si>
  <si>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</si>
  <si>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</si>
  <si>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</si>
  <si>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</si>
  <si>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</si>
  <si>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</si>
  <si>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</si>
  <si>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</si>
  <si>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</si>
  <si>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</si>
  <si>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</si>
  <si>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</si>
  <si>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</si>
  <si>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</si>
  <si>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</si>
  <si>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</si>
  <si>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</si>
  <si>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</si>
  <si>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</si>
  <si>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</si>
  <si>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</si>
  <si>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</si>
  <si>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</si>
  <si>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</si>
  <si>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</si>
  <si>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</si>
  <si>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</si>
  <si>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</si>
  <si>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</si>
  <si>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</si>
  <si>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</si>
  <si>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</si>
  <si>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</si>
  <si>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</si>
  <si>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</si>
  <si>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</si>
  <si>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</si>
  <si>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</si>
  <si>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</si>
  <si>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</si>
  <si>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</si>
  <si>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</si>
  <si>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</si>
  <si>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</si>
  <si>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</si>
  <si>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</si>
  <si>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</si>
  <si>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</si>
  <si>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</si>
  <si>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</si>
  <si>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</si>
  <si>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</si>
  <si>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</si>
  <si>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</si>
  <si>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</si>
  <si>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</si>
  <si>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</si>
  <si>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</si>
  <si>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</si>
  <si>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</si>
  <si>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</si>
  <si>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</si>
  <si>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</si>
  <si>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</si>
  <si>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</si>
  <si>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</si>
  <si>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</si>
  <si>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</si>
  <si>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</si>
  <si>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</si>
  <si>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</si>
  <si>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</si>
  <si>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</si>
  <si>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</si>
  <si>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</si>
  <si>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</si>
  <si>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</si>
  <si>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</si>
  <si>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</si>
  <si>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</si>
  <si>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</si>
  <si>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</si>
  <si>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</si>
  <si>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</si>
  <si>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</si>
  <si>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</si>
  <si>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</si>
  <si>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</si>
  <si>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</si>
  <si>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</si>
  <si>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</si>
  <si>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</si>
  <si>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</si>
  <si>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</si>
  <si>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</si>
  <si>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</si>
  <si>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</si>
  <si>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</si>
  <si>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</si>
  <si>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</si>
  <si>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</si>
  <si>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</si>
  <si>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</si>
  <si>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</si>
  <si>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</si>
  <si>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</si>
  <si>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</si>
  <si>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</si>
  <si>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</si>
  <si>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</si>
  <si>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</si>
  <si>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</si>
  <si>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</si>
  <si>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</si>
  <si>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</si>
  <si>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</si>
  <si>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</si>
  <si>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</si>
  <si>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</si>
  <si>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</si>
  <si>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</si>
  <si>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</si>
  <si>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</si>
  <si>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</si>
  <si>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</si>
  <si>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</si>
  <si>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</si>
  <si>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</si>
  <si>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</si>
  <si>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</si>
  <si>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</si>
  <si>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</si>
  <si>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</si>
  <si>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</si>
  <si>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</si>
  <si>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</si>
  <si>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</si>
  <si>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</si>
  <si>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</si>
  <si>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</si>
  <si>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</si>
  <si>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</si>
  <si>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</si>
  <si>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</si>
  <si>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</si>
  <si>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</si>
  <si>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</si>
  <si>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</si>
  <si>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</si>
  <si>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</si>
  <si>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</si>
  <si>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</si>
  <si>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</si>
  <si>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</si>
  <si>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</si>
  <si>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</si>
  <si>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</si>
  <si>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</si>
  <si>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</si>
  <si>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</si>
  <si>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</si>
  <si>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</si>
  <si>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</si>
  <si>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</si>
  <si>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</si>
  <si>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</si>
  <si>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</si>
  <si>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</si>
  <si>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</si>
  <si>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</si>
  <si>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</si>
  <si>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</si>
  <si>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</si>
  <si>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</si>
  <si>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</si>
  <si>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</si>
  <si>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</si>
  <si>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</si>
  <si>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</si>
  <si>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</si>
  <si>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</si>
  <si>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</si>
  <si>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</si>
  <si>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</si>
  <si>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</si>
  <si>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</si>
  <si>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</si>
  <si>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</si>
  <si>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</si>
  <si>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</si>
  <si>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</si>
  <si>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</si>
  <si>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</si>
  <si>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</si>
  <si>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</si>
  <si>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</si>
  <si>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</si>
  <si>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</si>
  <si>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</si>
  <si>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</si>
  <si>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</si>
  <si>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</si>
  <si>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</si>
  <si>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</si>
  <si>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</si>
  <si>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</si>
  <si>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</si>
  <si>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</si>
  <si>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</si>
  <si>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</si>
  <si>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</si>
  <si>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</si>
  <si>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</si>
  <si>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</si>
  <si>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</si>
  <si>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</si>
  <si>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</si>
  <si>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</si>
  <si>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</si>
  <si>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</si>
  <si>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</si>
  <si>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</si>
  <si>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</si>
  <si>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</si>
  <si>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</si>
  <si>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</si>
  <si>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</si>
  <si>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</si>
  <si>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</si>
  <si>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</si>
  <si>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</si>
  <si>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</si>
  <si>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</si>
  <si>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</si>
  <si>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</si>
  <si>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</si>
  <si>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</si>
  <si>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</si>
  <si>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</si>
  <si>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</si>
  <si>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</si>
  <si>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</si>
  <si>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</si>
  <si>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</si>
  <si>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</si>
  <si>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</si>
  <si>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</si>
  <si>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</si>
  <si>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</si>
  <si>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</si>
  <si>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</si>
  <si>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</si>
  <si>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</si>
  <si>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</si>
  <si>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</si>
  <si>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</si>
  <si>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</si>
  <si>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</si>
  <si>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</si>
  <si>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</si>
  <si>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</si>
  <si>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</si>
  <si>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</si>
  <si>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</si>
  <si>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</si>
  <si>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</si>
  <si>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</si>
  <si>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</si>
  <si>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</si>
  <si>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</si>
  <si>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</si>
  <si>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</si>
  <si>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</si>
  <si>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</si>
  <si>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</si>
  <si>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</si>
  <si>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</si>
  <si>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</si>
  <si>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</si>
  <si>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</si>
  <si>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</si>
  <si>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</si>
  <si>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</si>
  <si>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</si>
  <si>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</si>
  <si>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</si>
  <si>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</si>
  <si>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</si>
  <si>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</si>
  <si>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</si>
  <si>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</si>
  <si>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</si>
  <si>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</si>
  <si>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</si>
  <si>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</si>
  <si>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</si>
  <si>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</si>
  <si>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</si>
  <si>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</si>
  <si>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</si>
  <si>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</si>
  <si>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</si>
  <si>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</si>
  <si>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</si>
  <si>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</si>
  <si>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</si>
  <si>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</si>
  <si>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</si>
  <si>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</si>
  <si>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</si>
  <si>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</si>
  <si>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</si>
  <si>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</si>
  <si>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</si>
  <si>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</si>
  <si>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</si>
  <si>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</si>
  <si>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</si>
  <si>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</si>
  <si>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</si>
  <si>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</si>
  <si>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</si>
  <si>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</si>
  <si>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</si>
  <si>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</si>
  <si>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</si>
  <si>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</si>
  <si>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</si>
  <si>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</si>
  <si>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</si>
  <si>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</si>
  <si>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</si>
  <si>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</si>
  <si>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</si>
  <si>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</si>
  <si>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</si>
  <si>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</si>
  <si>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</si>
  <si>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</si>
  <si>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</si>
  <si>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</si>
  <si>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</si>
  <si>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</si>
  <si>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</si>
  <si>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</si>
  <si>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</si>
  <si>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</si>
  <si>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</si>
  <si>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</si>
  <si>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</si>
  <si>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</si>
  <si>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</si>
  <si>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</si>
  <si>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</si>
  <si>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</si>
  <si>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</si>
  <si>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</si>
  <si>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</si>
  <si>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</si>
  <si>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</si>
  <si>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</si>
  <si>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</si>
  <si>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</si>
  <si>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</si>
  <si>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</si>
  <si>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</si>
  <si>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</si>
  <si>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</si>
  <si>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</si>
  <si>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</si>
  <si>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</si>
  <si>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</si>
  <si>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</si>
  <si>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</si>
  <si>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</si>
  <si>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</si>
  <si>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</si>
  <si>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</si>
  <si>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</si>
  <si>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</si>
  <si>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</si>
  <si>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</si>
  <si>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</si>
  <si>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</si>
  <si>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</si>
  <si>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</si>
  <si>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</si>
  <si>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</si>
  <si>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</si>
  <si>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</si>
  <si>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</si>
  <si>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</si>
  <si>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</si>
  <si>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</si>
  <si>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</si>
  <si>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</si>
  <si>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</si>
  <si>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</si>
  <si>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</si>
  <si>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</si>
  <si>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</si>
  <si>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</si>
  <si>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</si>
  <si>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</si>
  <si>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</si>
  <si>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</si>
  <si>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</si>
  <si>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</si>
  <si>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Hillsboro Deering Cooperative</t>
  </si>
  <si>
    <t>07/02</t>
  </si>
  <si>
    <t>08/22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</si>
</sst>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84" zoomScaleNormal="84" workbookViewId="0">
      <pane xSplit="5" ySplit="3" topLeftCell="F62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251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722758</v>
      </c>
      <c r="G9" s="18"/>
      <c r="H9" s="18"/>
      <c r="I9" s="18"/>
      <c r="J9" s="67">
        <f>SUM(I439)</f>
        <v>606583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>
        <v>78497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763065</v>
      </c>
      <c r="G13" s="18">
        <v>64633</v>
      </c>
      <c r="H13" s="18">
        <v>223940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10392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14828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1496215</v>
      </c>
      <c r="G19" s="41">
        <f>SUM(G9:G18)</f>
        <v>79461</v>
      </c>
      <c r="H19" s="41">
        <f>SUM(H9:H18)</f>
        <v>302437</v>
      </c>
      <c r="I19" s="41">
        <f>SUM(I9:I18)</f>
        <v>0</v>
      </c>
      <c r="J19" s="41">
        <f>SUM(J9:J18)</f>
        <v>606583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45003</v>
      </c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58386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167775</v>
      </c>
      <c r="G24" s="18">
        <v>105</v>
      </c>
      <c r="H24" s="18">
        <v>4620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294217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226161</v>
      </c>
      <c r="G32" s="41">
        <f>SUM(G22:G31)</f>
        <v>45108</v>
      </c>
      <c r="H32" s="41">
        <f>SUM(H22:H31)</f>
        <v>298837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14828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606583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142820</v>
      </c>
      <c r="G49" s="18">
        <v>19525</v>
      </c>
      <c r="H49" s="18">
        <v>3600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1027234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1270054</v>
      </c>
      <c r="G51" s="41">
        <f>SUM(G35:G50)</f>
        <v>34353</v>
      </c>
      <c r="H51" s="41">
        <f>SUM(H35:H50)</f>
        <v>3600</v>
      </c>
      <c r="I51" s="41">
        <f>SUM(I35:I50)</f>
        <v>0</v>
      </c>
      <c r="J51" s="41">
        <f>SUM(J35:J50)</f>
        <v>606583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1496215</v>
      </c>
      <c r="G52" s="41">
        <f>G51+G32</f>
        <v>79461</v>
      </c>
      <c r="H52" s="41">
        <f>H51+H32</f>
        <v>302437</v>
      </c>
      <c r="I52" s="41">
        <f>I51+I32</f>
        <v>0</v>
      </c>
      <c r="J52" s="41">
        <f>J51+J32</f>
        <v>606583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9790133-48957</f>
        <v>9741176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9741176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1678852+7978</f>
        <v>1686830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1686830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235891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25000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208052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1251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26251</v>
      </c>
      <c r="G111" s="41">
        <f>SUM(G96:G110)</f>
        <v>235891</v>
      </c>
      <c r="H111" s="41">
        <f>SUM(H96:H110)</f>
        <v>208052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11454257</v>
      </c>
      <c r="G112" s="41">
        <f>G60+G111</f>
        <v>235891</v>
      </c>
      <c r="H112" s="41">
        <f>H60+H79+H94+H111</f>
        <v>208052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6215437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f>1514503+48957</f>
        <v>1563460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7778897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369132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89802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f>25288-7978</f>
        <v>17310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5893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476244</v>
      </c>
      <c r="G136" s="41">
        <f>SUM(G123:G135)</f>
        <v>5893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8255141</v>
      </c>
      <c r="G140" s="41">
        <f>G121+SUM(G136:G137)</f>
        <v>5893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499435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584685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348254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199486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199486</v>
      </c>
      <c r="G162" s="41">
        <f>SUM(G150:G161)</f>
        <v>348254</v>
      </c>
      <c r="H162" s="41">
        <f>SUM(H150:H161)</f>
        <v>1084120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199486</v>
      </c>
      <c r="G169" s="41">
        <f>G147+G162+SUM(G163:G168)</f>
        <v>348254</v>
      </c>
      <c r="H169" s="41">
        <f>H147+H162+SUM(H163:H168)</f>
        <v>1084120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82000</v>
      </c>
      <c r="H179" s="18"/>
      <c r="I179" s="18"/>
      <c r="J179" s="18">
        <v>150000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82000</v>
      </c>
      <c r="H183" s="41">
        <f>SUM(H179:H182)</f>
        <v>0</v>
      </c>
      <c r="I183" s="41">
        <f>SUM(I179:I182)</f>
        <v>0</v>
      </c>
      <c r="J183" s="41">
        <f>SUM(J179:J182)</f>
        <v>150000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82000</v>
      </c>
      <c r="H192" s="41">
        <f>+H183+SUM(H188:H191)</f>
        <v>0</v>
      </c>
      <c r="I192" s="41">
        <f>I177+I183+SUM(I188:I191)</f>
        <v>0</v>
      </c>
      <c r="J192" s="41">
        <f>J183</f>
        <v>150000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19908884</v>
      </c>
      <c r="G193" s="47">
        <f>G112+G140+G169+G192</f>
        <v>672038</v>
      </c>
      <c r="H193" s="47">
        <f>H112+H140+H169+H192</f>
        <v>1292172</v>
      </c>
      <c r="I193" s="47">
        <f>I112+I140+I169+I192</f>
        <v>0</v>
      </c>
      <c r="J193" s="47">
        <f>J112+J140+J192</f>
        <v>150000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1996377</v>
      </c>
      <c r="G197" s="18">
        <v>876027</v>
      </c>
      <c r="H197" s="18">
        <v>381</v>
      </c>
      <c r="I197" s="18">
        <v>102389</v>
      </c>
      <c r="J197" s="18">
        <v>1965</v>
      </c>
      <c r="K197" s="18"/>
      <c r="L197" s="19">
        <f>SUM(F197:K197)</f>
        <v>2977139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922990</v>
      </c>
      <c r="G198" s="18">
        <v>570464</v>
      </c>
      <c r="H198" s="18">
        <v>121691</v>
      </c>
      <c r="I198" s="18">
        <v>10950</v>
      </c>
      <c r="J198" s="18">
        <v>899</v>
      </c>
      <c r="K198" s="18">
        <v>589</v>
      </c>
      <c r="L198" s="19">
        <f>SUM(F198:K198)</f>
        <v>1627583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1950</v>
      </c>
      <c r="G200" s="18">
        <v>422</v>
      </c>
      <c r="H200" s="18"/>
      <c r="I200" s="18"/>
      <c r="J200" s="18"/>
      <c r="K200" s="18"/>
      <c r="L200" s="19">
        <f>SUM(F200:K200)</f>
        <v>2372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424037</v>
      </c>
      <c r="G202" s="18">
        <v>205742</v>
      </c>
      <c r="H202" s="18">
        <v>36095</v>
      </c>
      <c r="I202" s="18">
        <v>7182</v>
      </c>
      <c r="J202" s="18">
        <v>718</v>
      </c>
      <c r="K202" s="18"/>
      <c r="L202" s="19">
        <f t="shared" ref="L202:L208" si="0">SUM(F202:K202)</f>
        <v>673774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147752</v>
      </c>
      <c r="G203" s="18">
        <v>63182</v>
      </c>
      <c r="H203" s="18">
        <v>25774</v>
      </c>
      <c r="I203" s="18">
        <v>43785</v>
      </c>
      <c r="J203" s="18">
        <v>77806</v>
      </c>
      <c r="K203" s="18">
        <v>120</v>
      </c>
      <c r="L203" s="19">
        <f t="shared" si="0"/>
        <v>358419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3707</v>
      </c>
      <c r="G204" s="18">
        <v>41615</v>
      </c>
      <c r="H204" s="18">
        <v>409698</v>
      </c>
      <c r="I204" s="18">
        <v>54</v>
      </c>
      <c r="J204" s="18"/>
      <c r="K204" s="18">
        <v>4972</v>
      </c>
      <c r="L204" s="19">
        <f t="shared" si="0"/>
        <v>460046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204986</v>
      </c>
      <c r="G205" s="18">
        <v>101736</v>
      </c>
      <c r="H205" s="18">
        <v>4412</v>
      </c>
      <c r="I205" s="18">
        <v>4612</v>
      </c>
      <c r="J205" s="18"/>
      <c r="K205" s="18">
        <v>1525</v>
      </c>
      <c r="L205" s="19">
        <f t="shared" si="0"/>
        <v>317271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>
        <v>4146</v>
      </c>
      <c r="J206" s="18"/>
      <c r="K206" s="18"/>
      <c r="L206" s="19">
        <f t="shared" si="0"/>
        <v>4146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58279</v>
      </c>
      <c r="G207" s="18">
        <v>29854</v>
      </c>
      <c r="H207" s="18">
        <v>553998</v>
      </c>
      <c r="I207" s="18">
        <v>235597</v>
      </c>
      <c r="J207" s="18">
        <v>51017</v>
      </c>
      <c r="K207" s="18"/>
      <c r="L207" s="19">
        <f t="shared" si="0"/>
        <v>928745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273315</v>
      </c>
      <c r="I208" s="18"/>
      <c r="J208" s="18"/>
      <c r="K208" s="18"/>
      <c r="L208" s="19">
        <f t="shared" si="0"/>
        <v>273315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3760078</v>
      </c>
      <c r="G211" s="41">
        <f t="shared" si="1"/>
        <v>1889042</v>
      </c>
      <c r="H211" s="41">
        <f t="shared" si="1"/>
        <v>1425364</v>
      </c>
      <c r="I211" s="41">
        <f t="shared" si="1"/>
        <v>408715</v>
      </c>
      <c r="J211" s="41">
        <f t="shared" si="1"/>
        <v>132405</v>
      </c>
      <c r="K211" s="41">
        <f t="shared" si="1"/>
        <v>7206</v>
      </c>
      <c r="L211" s="41">
        <f t="shared" si="1"/>
        <v>7622810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1104821</v>
      </c>
      <c r="G215" s="18">
        <v>563424</v>
      </c>
      <c r="H215" s="18">
        <v>3532</v>
      </c>
      <c r="I215" s="18">
        <v>74542</v>
      </c>
      <c r="J215" s="18">
        <v>7569</v>
      </c>
      <c r="K215" s="18">
        <v>4487</v>
      </c>
      <c r="L215" s="19">
        <f>SUM(F215:K215)</f>
        <v>1758375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452015</v>
      </c>
      <c r="G216" s="18">
        <v>284282</v>
      </c>
      <c r="H216" s="18">
        <v>220715</v>
      </c>
      <c r="I216" s="18">
        <v>3442</v>
      </c>
      <c r="J216" s="18">
        <v>248</v>
      </c>
      <c r="K216" s="18">
        <v>504</v>
      </c>
      <c r="L216" s="19">
        <f>SUM(F216:K216)</f>
        <v>961206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2700</v>
      </c>
      <c r="G218" s="18">
        <v>588</v>
      </c>
      <c r="H218" s="18">
        <v>20000</v>
      </c>
      <c r="I218" s="18"/>
      <c r="J218" s="18"/>
      <c r="K218" s="18">
        <v>425</v>
      </c>
      <c r="L218" s="19">
        <f>SUM(F218:K218)</f>
        <v>23713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214698</v>
      </c>
      <c r="G220" s="18">
        <v>110343</v>
      </c>
      <c r="H220" s="18">
        <v>19624</v>
      </c>
      <c r="I220" s="18">
        <v>6828</v>
      </c>
      <c r="J220" s="18">
        <v>385</v>
      </c>
      <c r="K220" s="18"/>
      <c r="L220" s="19">
        <f t="shared" ref="L220:L226" si="2">SUM(F220:K220)</f>
        <v>351878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99465</v>
      </c>
      <c r="G221" s="18">
        <v>56498</v>
      </c>
      <c r="H221" s="18">
        <v>14043</v>
      </c>
      <c r="I221" s="18">
        <v>30242</v>
      </c>
      <c r="J221" s="18">
        <v>42766</v>
      </c>
      <c r="K221" s="18">
        <v>64</v>
      </c>
      <c r="L221" s="19">
        <f t="shared" si="2"/>
        <v>243078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1991</v>
      </c>
      <c r="G222" s="18">
        <v>22353</v>
      </c>
      <c r="H222" s="18">
        <v>220066</v>
      </c>
      <c r="I222" s="18">
        <v>29</v>
      </c>
      <c r="J222" s="18"/>
      <c r="K222" s="18">
        <v>2671</v>
      </c>
      <c r="L222" s="19">
        <f t="shared" si="2"/>
        <v>247110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206821</v>
      </c>
      <c r="G223" s="18">
        <v>98362</v>
      </c>
      <c r="H223" s="18">
        <v>4134</v>
      </c>
      <c r="I223" s="18">
        <v>2119</v>
      </c>
      <c r="J223" s="18"/>
      <c r="K223" s="18">
        <v>969</v>
      </c>
      <c r="L223" s="19">
        <f t="shared" si="2"/>
        <v>312405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>
        <v>2227</v>
      </c>
      <c r="J224" s="18"/>
      <c r="K224" s="18"/>
      <c r="L224" s="19">
        <f t="shared" si="2"/>
        <v>2227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31304</v>
      </c>
      <c r="G225" s="18">
        <v>16036</v>
      </c>
      <c r="H225" s="18">
        <v>297576</v>
      </c>
      <c r="I225" s="18">
        <v>126549</v>
      </c>
      <c r="J225" s="18">
        <v>27404</v>
      </c>
      <c r="K225" s="18"/>
      <c r="L225" s="19">
        <f t="shared" si="2"/>
        <v>498869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163268</v>
      </c>
      <c r="I226" s="18"/>
      <c r="J226" s="18"/>
      <c r="K226" s="18"/>
      <c r="L226" s="19">
        <f t="shared" si="2"/>
        <v>163268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2113815</v>
      </c>
      <c r="G229" s="41">
        <f>SUM(G215:G228)</f>
        <v>1151886</v>
      </c>
      <c r="H229" s="41">
        <f>SUM(H215:H228)</f>
        <v>962958</v>
      </c>
      <c r="I229" s="41">
        <f>SUM(I215:I228)</f>
        <v>245978</v>
      </c>
      <c r="J229" s="41">
        <f>SUM(J215:J228)</f>
        <v>78372</v>
      </c>
      <c r="K229" s="41">
        <f t="shared" si="3"/>
        <v>9120</v>
      </c>
      <c r="L229" s="41">
        <f t="shared" si="3"/>
        <v>4562129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1722549</v>
      </c>
      <c r="G233" s="18">
        <v>879115</v>
      </c>
      <c r="H233" s="18">
        <v>56889</v>
      </c>
      <c r="I233" s="18">
        <v>67648</v>
      </c>
      <c r="J233" s="18">
        <v>22099</v>
      </c>
      <c r="K233" s="18">
        <v>18296</v>
      </c>
      <c r="L233" s="19">
        <f>SUM(F233:K233)</f>
        <v>2766596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663825</v>
      </c>
      <c r="G234" s="18">
        <v>374877</v>
      </c>
      <c r="H234" s="18">
        <v>443699</v>
      </c>
      <c r="I234" s="18">
        <v>8213</v>
      </c>
      <c r="J234" s="18"/>
      <c r="K234" s="18">
        <v>245</v>
      </c>
      <c r="L234" s="19">
        <f>SUM(F234:K234)</f>
        <v>1490859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33687</v>
      </c>
      <c r="I235" s="18"/>
      <c r="J235" s="18"/>
      <c r="K235" s="18">
        <v>13980</v>
      </c>
      <c r="L235" s="19">
        <f>SUM(F235:K235)</f>
        <v>47667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121444</v>
      </c>
      <c r="G236" s="18">
        <v>32382</v>
      </c>
      <c r="H236" s="18">
        <v>17992</v>
      </c>
      <c r="I236" s="18">
        <v>13848</v>
      </c>
      <c r="J236" s="18">
        <v>20690</v>
      </c>
      <c r="K236" s="18"/>
      <c r="L236" s="19">
        <f>SUM(F236:K236)</f>
        <v>206356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291101</v>
      </c>
      <c r="G238" s="18">
        <v>125496</v>
      </c>
      <c r="H238" s="18">
        <v>29039</v>
      </c>
      <c r="I238" s="18">
        <v>6535</v>
      </c>
      <c r="J238" s="18">
        <v>1011</v>
      </c>
      <c r="K238" s="18"/>
      <c r="L238" s="19">
        <f t="shared" ref="L238:L244" si="4">SUM(F238:K238)</f>
        <v>453182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115496</v>
      </c>
      <c r="G239" s="18">
        <v>62073</v>
      </c>
      <c r="H239" s="18">
        <v>20458</v>
      </c>
      <c r="I239" s="18">
        <v>44864</v>
      </c>
      <c r="J239" s="18">
        <v>53570</v>
      </c>
      <c r="K239" s="18">
        <v>161</v>
      </c>
      <c r="L239" s="19">
        <f t="shared" si="4"/>
        <v>296622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2902</v>
      </c>
      <c r="G240" s="18">
        <v>32578</v>
      </c>
      <c r="H240" s="18">
        <v>320735</v>
      </c>
      <c r="I240" s="18">
        <v>42</v>
      </c>
      <c r="J240" s="18"/>
      <c r="K240" s="18">
        <v>3893</v>
      </c>
      <c r="L240" s="19">
        <f t="shared" si="4"/>
        <v>360150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242372</v>
      </c>
      <c r="G241" s="18">
        <v>96132</v>
      </c>
      <c r="H241" s="18">
        <v>4874</v>
      </c>
      <c r="I241" s="18">
        <v>4103</v>
      </c>
      <c r="J241" s="18">
        <v>976</v>
      </c>
      <c r="K241" s="18">
        <v>38300</v>
      </c>
      <c r="L241" s="19">
        <f t="shared" si="4"/>
        <v>386757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>
        <v>3246</v>
      </c>
      <c r="J242" s="18"/>
      <c r="K242" s="18"/>
      <c r="L242" s="19">
        <f t="shared" si="4"/>
        <v>3246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45624</v>
      </c>
      <c r="G243" s="18">
        <v>23371</v>
      </c>
      <c r="H243" s="18">
        <v>484218</v>
      </c>
      <c r="I243" s="18">
        <v>201861</v>
      </c>
      <c r="J243" s="18">
        <v>39939</v>
      </c>
      <c r="K243" s="18"/>
      <c r="L243" s="19">
        <f t="shared" si="4"/>
        <v>795013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292168</v>
      </c>
      <c r="I244" s="18"/>
      <c r="J244" s="18"/>
      <c r="K244" s="18"/>
      <c r="L244" s="19">
        <f t="shared" si="4"/>
        <v>292168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3205313</v>
      </c>
      <c r="G247" s="41">
        <f t="shared" si="5"/>
        <v>1626024</v>
      </c>
      <c r="H247" s="41">
        <f t="shared" si="5"/>
        <v>1703759</v>
      </c>
      <c r="I247" s="41">
        <f t="shared" si="5"/>
        <v>350360</v>
      </c>
      <c r="J247" s="41">
        <f t="shared" si="5"/>
        <v>138285</v>
      </c>
      <c r="K247" s="41">
        <f t="shared" si="5"/>
        <v>74875</v>
      </c>
      <c r="L247" s="41">
        <f t="shared" si="5"/>
        <v>7098616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36873</v>
      </c>
      <c r="I255" s="18"/>
      <c r="J255" s="18"/>
      <c r="K255" s="18"/>
      <c r="L255" s="19">
        <f t="shared" si="6"/>
        <v>36873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36873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36873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9079206</v>
      </c>
      <c r="G257" s="41">
        <f t="shared" si="8"/>
        <v>4666952</v>
      </c>
      <c r="H257" s="41">
        <f t="shared" si="8"/>
        <v>4128954</v>
      </c>
      <c r="I257" s="41">
        <f t="shared" si="8"/>
        <v>1005053</v>
      </c>
      <c r="J257" s="41">
        <f t="shared" si="8"/>
        <v>349062</v>
      </c>
      <c r="K257" s="41">
        <f t="shared" si="8"/>
        <v>91201</v>
      </c>
      <c r="L257" s="41">
        <f t="shared" si="8"/>
        <v>19320428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735000</v>
      </c>
      <c r="L260" s="19">
        <f>SUM(F260:K260)</f>
        <v>735000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269889</v>
      </c>
      <c r="L261" s="19">
        <f>SUM(F261:K261)</f>
        <v>269889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82000</v>
      </c>
      <c r="L263" s="19">
        <f>SUM(F263:K263)</f>
        <v>82000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150000</v>
      </c>
      <c r="L266" s="19">
        <f t="shared" si="9"/>
        <v>150000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1236889</v>
      </c>
      <c r="L270" s="41">
        <f t="shared" si="9"/>
        <v>1236889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9079206</v>
      </c>
      <c r="G271" s="42">
        <f t="shared" si="11"/>
        <v>4666952</v>
      </c>
      <c r="H271" s="42">
        <f t="shared" si="11"/>
        <v>4128954</v>
      </c>
      <c r="I271" s="42">
        <f t="shared" si="11"/>
        <v>1005053</v>
      </c>
      <c r="J271" s="42">
        <f t="shared" si="11"/>
        <v>349062</v>
      </c>
      <c r="K271" s="42">
        <f t="shared" si="11"/>
        <v>1328090</v>
      </c>
      <c r="L271" s="42">
        <f t="shared" si="11"/>
        <v>20557317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573483</v>
      </c>
      <c r="G276" s="18">
        <v>213337</v>
      </c>
      <c r="H276" s="18">
        <v>161745</v>
      </c>
      <c r="I276" s="18">
        <v>72617</v>
      </c>
      <c r="J276" s="18">
        <v>25739</v>
      </c>
      <c r="K276" s="18"/>
      <c r="L276" s="19">
        <f>SUM(F276:K276)</f>
        <v>1046921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573483</v>
      </c>
      <c r="G290" s="42">
        <f t="shared" si="13"/>
        <v>213337</v>
      </c>
      <c r="H290" s="42">
        <f t="shared" si="13"/>
        <v>161745</v>
      </c>
      <c r="I290" s="42">
        <f t="shared" si="13"/>
        <v>72617</v>
      </c>
      <c r="J290" s="42">
        <f t="shared" si="13"/>
        <v>25739</v>
      </c>
      <c r="K290" s="42">
        <f t="shared" si="13"/>
        <v>0</v>
      </c>
      <c r="L290" s="41">
        <f t="shared" si="13"/>
        <v>1046921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21055</v>
      </c>
      <c r="G295" s="18">
        <v>3309</v>
      </c>
      <c r="H295" s="18">
        <v>17929</v>
      </c>
      <c r="I295" s="18">
        <v>18175</v>
      </c>
      <c r="J295" s="18">
        <v>12862</v>
      </c>
      <c r="K295" s="18"/>
      <c r="L295" s="19">
        <f>SUM(F295:K295)</f>
        <v>73330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21055</v>
      </c>
      <c r="G309" s="42">
        <f t="shared" si="15"/>
        <v>3309</v>
      </c>
      <c r="H309" s="42">
        <f t="shared" si="15"/>
        <v>17929</v>
      </c>
      <c r="I309" s="42">
        <f t="shared" si="15"/>
        <v>18175</v>
      </c>
      <c r="J309" s="42">
        <f t="shared" si="15"/>
        <v>12862</v>
      </c>
      <c r="K309" s="42">
        <f t="shared" si="15"/>
        <v>0</v>
      </c>
      <c r="L309" s="41">
        <f t="shared" si="15"/>
        <v>73330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33030</v>
      </c>
      <c r="G314" s="18">
        <v>7030</v>
      </c>
      <c r="H314" s="18">
        <v>37625</v>
      </c>
      <c r="I314" s="18">
        <v>12855</v>
      </c>
      <c r="J314" s="18">
        <v>9133</v>
      </c>
      <c r="K314" s="18"/>
      <c r="L314" s="19">
        <f>SUM(F314:K314)</f>
        <v>99673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33030</v>
      </c>
      <c r="G328" s="42">
        <f t="shared" si="17"/>
        <v>7030</v>
      </c>
      <c r="H328" s="42">
        <f t="shared" si="17"/>
        <v>37625</v>
      </c>
      <c r="I328" s="42">
        <f t="shared" si="17"/>
        <v>12855</v>
      </c>
      <c r="J328" s="42">
        <f t="shared" si="17"/>
        <v>9133</v>
      </c>
      <c r="K328" s="42">
        <f t="shared" si="17"/>
        <v>0</v>
      </c>
      <c r="L328" s="41">
        <f t="shared" si="17"/>
        <v>99673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627568</v>
      </c>
      <c r="G338" s="41">
        <f t="shared" si="20"/>
        <v>223676</v>
      </c>
      <c r="H338" s="41">
        <f t="shared" si="20"/>
        <v>217299</v>
      </c>
      <c r="I338" s="41">
        <f t="shared" si="20"/>
        <v>103647</v>
      </c>
      <c r="J338" s="41">
        <f t="shared" si="20"/>
        <v>47734</v>
      </c>
      <c r="K338" s="41">
        <f t="shared" si="20"/>
        <v>0</v>
      </c>
      <c r="L338" s="41">
        <f t="shared" si="20"/>
        <v>1219924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627568</v>
      </c>
      <c r="G352" s="41">
        <f>G338</f>
        <v>223676</v>
      </c>
      <c r="H352" s="41">
        <f>H338</f>
        <v>217299</v>
      </c>
      <c r="I352" s="41">
        <f>I338</f>
        <v>103647</v>
      </c>
      <c r="J352" s="41">
        <f>J338</f>
        <v>47734</v>
      </c>
      <c r="K352" s="47">
        <f>K338+K351</f>
        <v>0</v>
      </c>
      <c r="L352" s="41">
        <f>L338+L351</f>
        <v>1219924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83311</v>
      </c>
      <c r="G358" s="18">
        <v>52766</v>
      </c>
      <c r="H358" s="18">
        <v>3644</v>
      </c>
      <c r="I358" s="18">
        <v>121273</v>
      </c>
      <c r="J358" s="18">
        <v>9995</v>
      </c>
      <c r="K358" s="18"/>
      <c r="L358" s="13">
        <f>SUM(F358:K358)</f>
        <v>270989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58452</v>
      </c>
      <c r="G359" s="18">
        <v>25298</v>
      </c>
      <c r="H359" s="18">
        <v>1957</v>
      </c>
      <c r="I359" s="18">
        <v>86252</v>
      </c>
      <c r="J359" s="18">
        <v>9995</v>
      </c>
      <c r="K359" s="18"/>
      <c r="L359" s="19">
        <f>SUM(F359:K359)</f>
        <v>181954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66546</v>
      </c>
      <c r="G360" s="18">
        <v>20206</v>
      </c>
      <c r="H360" s="18">
        <v>2852</v>
      </c>
      <c r="I360" s="18">
        <v>95138</v>
      </c>
      <c r="J360" s="18"/>
      <c r="K360" s="18"/>
      <c r="L360" s="19">
        <f>SUM(F360:K360)</f>
        <v>184742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208309</v>
      </c>
      <c r="G362" s="47">
        <f t="shared" si="22"/>
        <v>98270</v>
      </c>
      <c r="H362" s="47">
        <f t="shared" si="22"/>
        <v>8453</v>
      </c>
      <c r="I362" s="47">
        <f t="shared" si="22"/>
        <v>302663</v>
      </c>
      <c r="J362" s="47">
        <f t="shared" si="22"/>
        <v>19990</v>
      </c>
      <c r="K362" s="47">
        <f t="shared" si="22"/>
        <v>0</v>
      </c>
      <c r="L362" s="47">
        <f t="shared" si="22"/>
        <v>637685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104611</v>
      </c>
      <c r="G367" s="18">
        <v>70003</v>
      </c>
      <c r="H367" s="18">
        <v>79205</v>
      </c>
      <c r="I367" s="56">
        <f>SUM(F367:H367)</f>
        <v>253819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16662</v>
      </c>
      <c r="G368" s="63">
        <v>16249</v>
      </c>
      <c r="H368" s="63">
        <v>15933</v>
      </c>
      <c r="I368" s="56">
        <f>SUM(F368:H368)</f>
        <v>48844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121273</v>
      </c>
      <c r="G369" s="47">
        <f>SUM(G367:G368)</f>
        <v>86252</v>
      </c>
      <c r="H369" s="47">
        <f>SUM(H367:H368)</f>
        <v>95138</v>
      </c>
      <c r="I369" s="47">
        <f>SUM(I367:I368)</f>
        <v>302663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100000</v>
      </c>
      <c r="H396" s="18"/>
      <c r="I396" s="18"/>
      <c r="J396" s="24" t="s">
        <v>289</v>
      </c>
      <c r="K396" s="24" t="s">
        <v>289</v>
      </c>
      <c r="L396" s="56">
        <f t="shared" si="26"/>
        <v>100000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/>
      <c r="I397" s="18"/>
      <c r="J397" s="24" t="s">
        <v>289</v>
      </c>
      <c r="K397" s="24" t="s">
        <v>289</v>
      </c>
      <c r="L397" s="56">
        <f t="shared" si="26"/>
        <v>50000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150000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150000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150000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150000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606583</v>
      </c>
      <c r="H439" s="18"/>
      <c r="I439" s="56">
        <f t="shared" ref="I439:I445" si="33">SUM(F439:H439)</f>
        <v>606583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606583</v>
      </c>
      <c r="H446" s="13">
        <f>SUM(H439:H445)</f>
        <v>0</v>
      </c>
      <c r="I446" s="13">
        <f>SUM(I439:I445)</f>
        <v>606583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606583</v>
      </c>
      <c r="H459" s="18"/>
      <c r="I459" s="56">
        <f t="shared" si="34"/>
        <v>606583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606583</v>
      </c>
      <c r="H460" s="83">
        <f>SUM(H454:H459)</f>
        <v>0</v>
      </c>
      <c r="I460" s="83">
        <f>SUM(I454:I459)</f>
        <v>606583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606583</v>
      </c>
      <c r="H461" s="42">
        <f>H452+H460</f>
        <v>0</v>
      </c>
      <c r="I461" s="42">
        <f>I452+I460</f>
        <v>606583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1918487</v>
      </c>
      <c r="G465" s="18">
        <v>0</v>
      </c>
      <c r="H465" s="18">
        <v>-68648</v>
      </c>
      <c r="I465" s="18"/>
      <c r="J465" s="18">
        <v>456583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19908884</v>
      </c>
      <c r="G468" s="18">
        <f>G193</f>
        <v>672038</v>
      </c>
      <c r="H468" s="18">
        <f>H193</f>
        <v>1292172</v>
      </c>
      <c r="I468" s="18"/>
      <c r="J468" s="18">
        <f>J193</f>
        <v>150000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19908884</v>
      </c>
      <c r="G470" s="53">
        <f>SUM(G468:G469)</f>
        <v>672038</v>
      </c>
      <c r="H470" s="53">
        <f>SUM(H468:H469)</f>
        <v>1292172</v>
      </c>
      <c r="I470" s="53">
        <f>SUM(I468:I469)</f>
        <v>0</v>
      </c>
      <c r="J470" s="53">
        <f>SUM(J468:J469)</f>
        <v>150000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20557317</v>
      </c>
      <c r="G472" s="18">
        <f>L362</f>
        <v>637685</v>
      </c>
      <c r="H472" s="18">
        <f>L338</f>
        <v>1219924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20557317</v>
      </c>
      <c r="G474" s="53">
        <f>SUM(G472:G473)</f>
        <v>637685</v>
      </c>
      <c r="H474" s="53">
        <f>SUM(H472:H473)</f>
        <v>1219924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1270054</v>
      </c>
      <c r="G476" s="53">
        <f>(G465+G470)- G474</f>
        <v>34353</v>
      </c>
      <c r="H476" s="53">
        <f>(H465+H470)- H474</f>
        <v>3600</v>
      </c>
      <c r="I476" s="53">
        <f>(I465+I470)- I474</f>
        <v>0</v>
      </c>
      <c r="J476" s="53">
        <f>(J465+J470)- J474</f>
        <v>606583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14750000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6615000</v>
      </c>
      <c r="G495" s="18"/>
      <c r="H495" s="18"/>
      <c r="I495" s="18"/>
      <c r="J495" s="18"/>
      <c r="K495" s="53">
        <f>SUM(F495:J495)</f>
        <v>6615000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735000</v>
      </c>
      <c r="G497" s="18"/>
      <c r="H497" s="18"/>
      <c r="I497" s="18"/>
      <c r="J497" s="18"/>
      <c r="K497" s="53">
        <f t="shared" si="35"/>
        <v>735000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5880000</v>
      </c>
      <c r="G498" s="204"/>
      <c r="H498" s="204"/>
      <c r="I498" s="204"/>
      <c r="J498" s="204"/>
      <c r="K498" s="205">
        <f t="shared" si="35"/>
        <v>5880000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1049498</v>
      </c>
      <c r="G499" s="18"/>
      <c r="H499" s="18"/>
      <c r="I499" s="18"/>
      <c r="J499" s="18"/>
      <c r="K499" s="53">
        <f t="shared" si="35"/>
        <v>1049498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6929498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6929498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735000</v>
      </c>
      <c r="G501" s="204"/>
      <c r="H501" s="204"/>
      <c r="I501" s="204"/>
      <c r="J501" s="204"/>
      <c r="K501" s="205">
        <f t="shared" si="35"/>
        <v>735000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267468</v>
      </c>
      <c r="G502" s="18"/>
      <c r="H502" s="18"/>
      <c r="I502" s="18"/>
      <c r="J502" s="18"/>
      <c r="K502" s="53">
        <f t="shared" si="35"/>
        <v>267468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1002468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1002468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846938</v>
      </c>
      <c r="G521" s="18">
        <v>537609</v>
      </c>
      <c r="H521" s="18">
        <v>121089</v>
      </c>
      <c r="I521" s="18">
        <v>10950</v>
      </c>
      <c r="J521" s="18">
        <v>899</v>
      </c>
      <c r="K521" s="18">
        <v>589</v>
      </c>
      <c r="L521" s="88">
        <f>SUM(F521:K521)</f>
        <v>1518074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411164</v>
      </c>
      <c r="G522" s="18">
        <v>266634</v>
      </c>
      <c r="H522" s="18">
        <v>220392</v>
      </c>
      <c r="I522" s="18">
        <v>3441</v>
      </c>
      <c r="J522" s="18">
        <v>248</v>
      </c>
      <c r="K522" s="18">
        <v>504</v>
      </c>
      <c r="L522" s="88">
        <f>SUM(F522:K522)</f>
        <v>902383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604287</v>
      </c>
      <c r="G523" s="18">
        <v>349156</v>
      </c>
      <c r="H523" s="18">
        <v>443228</v>
      </c>
      <c r="I523" s="18">
        <v>8213</v>
      </c>
      <c r="J523" s="18"/>
      <c r="K523" s="18">
        <v>245</v>
      </c>
      <c r="L523" s="88">
        <f>SUM(F523:K523)</f>
        <v>1405129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1862389</v>
      </c>
      <c r="G524" s="108">
        <f t="shared" ref="G524:L524" si="36">SUM(G521:G523)</f>
        <v>1153399</v>
      </c>
      <c r="H524" s="108">
        <f t="shared" si="36"/>
        <v>784709</v>
      </c>
      <c r="I524" s="108">
        <f t="shared" si="36"/>
        <v>22604</v>
      </c>
      <c r="J524" s="108">
        <f t="shared" si="36"/>
        <v>1147</v>
      </c>
      <c r="K524" s="108">
        <f t="shared" si="36"/>
        <v>1338</v>
      </c>
      <c r="L524" s="89">
        <f t="shared" si="36"/>
        <v>3825586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268596</v>
      </c>
      <c r="G526" s="18">
        <v>139808</v>
      </c>
      <c r="H526" s="18"/>
      <c r="I526" s="18">
        <v>2282</v>
      </c>
      <c r="J526" s="18"/>
      <c r="K526" s="18"/>
      <c r="L526" s="88">
        <f>SUM(F526:K526)</f>
        <v>410686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95924</v>
      </c>
      <c r="G527" s="18">
        <v>52953</v>
      </c>
      <c r="H527" s="18"/>
      <c r="I527" s="18">
        <v>2112</v>
      </c>
      <c r="J527" s="18"/>
      <c r="K527" s="18"/>
      <c r="L527" s="88">
        <f>SUM(F527:K527)</f>
        <v>150989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91343</v>
      </c>
      <c r="G528" s="18">
        <v>38233</v>
      </c>
      <c r="H528" s="18"/>
      <c r="I528" s="18">
        <v>1382</v>
      </c>
      <c r="J528" s="18"/>
      <c r="K528" s="18"/>
      <c r="L528" s="88">
        <f>SUM(F528:K528)</f>
        <v>130958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455863</v>
      </c>
      <c r="G529" s="89">
        <f t="shared" ref="G529:L529" si="37">SUM(G526:G528)</f>
        <v>230994</v>
      </c>
      <c r="H529" s="89">
        <f t="shared" si="37"/>
        <v>0</v>
      </c>
      <c r="I529" s="89">
        <f t="shared" si="37"/>
        <v>5776</v>
      </c>
      <c r="J529" s="89">
        <f t="shared" si="37"/>
        <v>0</v>
      </c>
      <c r="K529" s="89">
        <f t="shared" si="37"/>
        <v>0</v>
      </c>
      <c r="L529" s="89">
        <f t="shared" si="37"/>
        <v>692633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116214</v>
      </c>
      <c r="G531" s="18">
        <v>45708</v>
      </c>
      <c r="H531" s="18">
        <v>602</v>
      </c>
      <c r="I531" s="18"/>
      <c r="J531" s="18"/>
      <c r="K531" s="18"/>
      <c r="L531" s="88">
        <f>SUM(F531:K531)</f>
        <v>162524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62424</v>
      </c>
      <c r="G532" s="18">
        <v>24551</v>
      </c>
      <c r="H532" s="18">
        <v>323</v>
      </c>
      <c r="I532" s="18"/>
      <c r="J532" s="18"/>
      <c r="K532" s="18"/>
      <c r="L532" s="88">
        <f>SUM(F532:K532)</f>
        <v>87298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90979</v>
      </c>
      <c r="G533" s="18">
        <v>35782</v>
      </c>
      <c r="H533" s="18">
        <v>471</v>
      </c>
      <c r="I533" s="18"/>
      <c r="J533" s="18"/>
      <c r="K533" s="18"/>
      <c r="L533" s="88">
        <f>SUM(F533:K533)</f>
        <v>127232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269617</v>
      </c>
      <c r="G534" s="89">
        <f t="shared" ref="G534:L534" si="38">SUM(G531:G533)</f>
        <v>106041</v>
      </c>
      <c r="H534" s="89">
        <f t="shared" si="38"/>
        <v>1396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377054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85247</v>
      </c>
      <c r="I541" s="18"/>
      <c r="J541" s="18"/>
      <c r="K541" s="18"/>
      <c r="L541" s="88">
        <f>SUM(F541:K541)</f>
        <v>85247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45790</v>
      </c>
      <c r="I542" s="18"/>
      <c r="J542" s="18"/>
      <c r="K542" s="18"/>
      <c r="L542" s="88">
        <f>SUM(F542:K542)</f>
        <v>45790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66737</v>
      </c>
      <c r="I543" s="18"/>
      <c r="J543" s="18"/>
      <c r="K543" s="18"/>
      <c r="L543" s="88">
        <f>SUM(F543:K543)</f>
        <v>66737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197774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197774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2587869</v>
      </c>
      <c r="G545" s="89">
        <f t="shared" ref="G545:L545" si="41">G524+G529+G534+G539+G544</f>
        <v>1490434</v>
      </c>
      <c r="H545" s="89">
        <f t="shared" si="41"/>
        <v>983879</v>
      </c>
      <c r="I545" s="89">
        <f t="shared" si="41"/>
        <v>28380</v>
      </c>
      <c r="J545" s="89">
        <f t="shared" si="41"/>
        <v>1147</v>
      </c>
      <c r="K545" s="89">
        <f t="shared" si="41"/>
        <v>1338</v>
      </c>
      <c r="L545" s="89">
        <f t="shared" si="41"/>
        <v>5093047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1518074</v>
      </c>
      <c r="G549" s="87">
        <f>L526</f>
        <v>410686</v>
      </c>
      <c r="H549" s="87">
        <f>L531</f>
        <v>162524</v>
      </c>
      <c r="I549" s="87">
        <f>L536</f>
        <v>0</v>
      </c>
      <c r="J549" s="87">
        <f>L541</f>
        <v>85247</v>
      </c>
      <c r="K549" s="87">
        <f>SUM(F549:J549)</f>
        <v>2176531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902383</v>
      </c>
      <c r="G550" s="87">
        <f>L527</f>
        <v>150989</v>
      </c>
      <c r="H550" s="87">
        <f>L532</f>
        <v>87298</v>
      </c>
      <c r="I550" s="87">
        <f>L537</f>
        <v>0</v>
      </c>
      <c r="J550" s="87">
        <f>L542</f>
        <v>45790</v>
      </c>
      <c r="K550" s="87">
        <f>SUM(F550:J550)</f>
        <v>1186460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1405129</v>
      </c>
      <c r="G551" s="87">
        <f>L528</f>
        <v>130958</v>
      </c>
      <c r="H551" s="87">
        <f>L533</f>
        <v>127232</v>
      </c>
      <c r="I551" s="87">
        <f>L538</f>
        <v>0</v>
      </c>
      <c r="J551" s="87">
        <f>L543</f>
        <v>66737</v>
      </c>
      <c r="K551" s="87">
        <f>SUM(F551:J551)</f>
        <v>1730056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3825586</v>
      </c>
      <c r="G552" s="89">
        <f t="shared" si="42"/>
        <v>692633</v>
      </c>
      <c r="H552" s="89">
        <f t="shared" si="42"/>
        <v>377054</v>
      </c>
      <c r="I552" s="89">
        <f t="shared" si="42"/>
        <v>0</v>
      </c>
      <c r="J552" s="89">
        <f t="shared" si="42"/>
        <v>197774</v>
      </c>
      <c r="K552" s="89">
        <f t="shared" si="42"/>
        <v>5093047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109310</v>
      </c>
      <c r="G582" s="18">
        <v>194344</v>
      </c>
      <c r="H582" s="18">
        <v>436967</v>
      </c>
      <c r="I582" s="87">
        <f t="shared" si="47"/>
        <v>740621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33687</v>
      </c>
      <c r="I584" s="87">
        <f t="shared" si="47"/>
        <v>33687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175792</v>
      </c>
      <c r="I591" s="18">
        <v>94425</v>
      </c>
      <c r="J591" s="18">
        <v>137620</v>
      </c>
      <c r="K591" s="104">
        <f t="shared" ref="K591:K597" si="48">SUM(H591:J591)</f>
        <v>407837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85247</v>
      </c>
      <c r="I592" s="18">
        <v>45790</v>
      </c>
      <c r="J592" s="18">
        <v>66737</v>
      </c>
      <c r="K592" s="104">
        <f t="shared" si="48"/>
        <v>197774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47806</v>
      </c>
      <c r="K593" s="104">
        <f t="shared" si="48"/>
        <v>47806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>
        <v>30911</v>
      </c>
      <c r="K594" s="104">
        <f t="shared" si="48"/>
        <v>30911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12276</v>
      </c>
      <c r="I595" s="18">
        <v>23053</v>
      </c>
      <c r="J595" s="18">
        <v>9094</v>
      </c>
      <c r="K595" s="104">
        <f t="shared" si="48"/>
        <v>44423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273315</v>
      </c>
      <c r="I598" s="108">
        <f>SUM(I591:I597)</f>
        <v>163268</v>
      </c>
      <c r="J598" s="108">
        <f>SUM(J591:J597)</f>
        <v>292168</v>
      </c>
      <c r="K598" s="108">
        <f>SUM(K591:K597)</f>
        <v>728751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158144</v>
      </c>
      <c r="I604" s="18">
        <v>91234</v>
      </c>
      <c r="J604" s="18">
        <f>147418</f>
        <v>147418</v>
      </c>
      <c r="K604" s="104">
        <f>SUM(H604:J604)</f>
        <v>396796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158144</v>
      </c>
      <c r="I605" s="108">
        <f>SUM(I602:I604)</f>
        <v>91234</v>
      </c>
      <c r="J605" s="108">
        <f>SUM(J602:J604)</f>
        <v>147418</v>
      </c>
      <c r="K605" s="108">
        <f>SUM(K602:K604)</f>
        <v>396796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1496215</v>
      </c>
      <c r="H617" s="109">
        <f>SUM(F52)</f>
        <v>1496215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79461</v>
      </c>
      <c r="H618" s="109">
        <f>SUM(G52)</f>
        <v>79461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302437</v>
      </c>
      <c r="H619" s="109">
        <f>SUM(H52)</f>
        <v>302437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606583</v>
      </c>
      <c r="H621" s="109">
        <f>SUM(J52)</f>
        <v>606583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1270054</v>
      </c>
      <c r="H622" s="109">
        <f>F476</f>
        <v>1270054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34353</v>
      </c>
      <c r="H623" s="109">
        <f>G476</f>
        <v>34353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3600</v>
      </c>
      <c r="H624" s="109">
        <f>H476</f>
        <v>3600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606583</v>
      </c>
      <c r="H626" s="109">
        <f>J476</f>
        <v>606583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19908884</v>
      </c>
      <c r="H627" s="104">
        <f>SUM(F468)</f>
        <v>19908884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672038</v>
      </c>
      <c r="H628" s="104">
        <f>SUM(G468)</f>
        <v>672038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1292172</v>
      </c>
      <c r="H629" s="104">
        <f>SUM(H468)</f>
        <v>1292172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150000</v>
      </c>
      <c r="H631" s="104">
        <f>SUM(J468)</f>
        <v>150000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20557317</v>
      </c>
      <c r="H632" s="104">
        <f>SUM(F472)</f>
        <v>20557317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1219924</v>
      </c>
      <c r="H633" s="104">
        <f>SUM(H472)</f>
        <v>1219924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302663</v>
      </c>
      <c r="H634" s="104">
        <f>I369</f>
        <v>302663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637685</v>
      </c>
      <c r="H635" s="104">
        <f>SUM(G472)</f>
        <v>637685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150000</v>
      </c>
      <c r="H637" s="164">
        <f>SUM(J468)</f>
        <v>150000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606583</v>
      </c>
      <c r="H640" s="104">
        <f>SUM(G461)</f>
        <v>606583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606583</v>
      </c>
      <c r="H642" s="104">
        <f>SUM(I461)</f>
        <v>606583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150000</v>
      </c>
      <c r="H645" s="104">
        <f>G408</f>
        <v>150000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150000</v>
      </c>
      <c r="H646" s="104">
        <f>L408</f>
        <v>150000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728751</v>
      </c>
      <c r="H647" s="104">
        <f>L208+L226+L244</f>
        <v>728751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396796</v>
      </c>
      <c r="H648" s="104">
        <f>(J257+J338)-(J255+J336)</f>
        <v>396796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273315</v>
      </c>
      <c r="H649" s="104">
        <f>H598</f>
        <v>273315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163268</v>
      </c>
      <c r="H650" s="104">
        <f>I598</f>
        <v>163268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292168</v>
      </c>
      <c r="H651" s="104">
        <f>J598</f>
        <v>292168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82000</v>
      </c>
      <c r="H652" s="104">
        <f>K263+K345</f>
        <v>82000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150000</v>
      </c>
      <c r="H655" s="104">
        <f>K266+K347</f>
        <v>150000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8940720</v>
      </c>
      <c r="G660" s="19">
        <f>(L229+L309+L359)</f>
        <v>4817413</v>
      </c>
      <c r="H660" s="19">
        <f>(L247+L328+L360)</f>
        <v>7383031</v>
      </c>
      <c r="I660" s="19">
        <f>SUM(F660:H660)</f>
        <v>21141164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100243.64098104864</v>
      </c>
      <c r="G661" s="19">
        <f>(L359/IF(SUM(L358:L360)=0,1,SUM(L358:L360))*(SUM(G97:G110)))</f>
        <v>67308.014166869223</v>
      </c>
      <c r="H661" s="19">
        <f>(L360/IF(SUM(L358:L360)=0,1,SUM(L358:L360))*(SUM(G97:G110)))</f>
        <v>68339.34485208214</v>
      </c>
      <c r="I661" s="19">
        <f>SUM(F661:H661)</f>
        <v>235891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273315</v>
      </c>
      <c r="G662" s="19">
        <f>(L226+L306)-(J226+J306)</f>
        <v>163268</v>
      </c>
      <c r="H662" s="19">
        <f>(L244+L325)-(J244+J325)</f>
        <v>292168</v>
      </c>
      <c r="I662" s="19">
        <f>SUM(F662:H662)</f>
        <v>728751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267454</v>
      </c>
      <c r="G663" s="199">
        <f>SUM(G575:G587)+SUM(I602:I604)+L612</f>
        <v>285578</v>
      </c>
      <c r="H663" s="199">
        <f>SUM(H575:H587)+SUM(J602:J604)+L613</f>
        <v>618072</v>
      </c>
      <c r="I663" s="19">
        <f>SUM(F663:H663)</f>
        <v>1171104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8299707.3590189517</v>
      </c>
      <c r="G664" s="19">
        <f>G660-SUM(G661:G663)</f>
        <v>4301258.9858331308</v>
      </c>
      <c r="H664" s="19">
        <f>H660-SUM(H661:H663)</f>
        <v>6404451.6551479176</v>
      </c>
      <c r="I664" s="19">
        <f>I660-SUM(I661:I663)</f>
        <v>19005418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509.51</v>
      </c>
      <c r="G665" s="248">
        <v>277.10000000000002</v>
      </c>
      <c r="H665" s="248">
        <v>395.7</v>
      </c>
      <c r="I665" s="19">
        <f>SUM(F665:H665)</f>
        <v>1182.31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16289.59</v>
      </c>
      <c r="G667" s="19">
        <f>ROUND(G664/G665,2)</f>
        <v>15522.41</v>
      </c>
      <c r="H667" s="19">
        <f>ROUND(H664/H665,2)</f>
        <v>16185.12</v>
      </c>
      <c r="I667" s="19">
        <f>ROUND(I664/I665,2)</f>
        <v>16074.82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-3.67</v>
      </c>
      <c r="I670" s="19">
        <f>SUM(F670:H670)</f>
        <v>-3.67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16289.59</v>
      </c>
      <c r="G672" s="19">
        <f>ROUND((G664+G669)/(G665+G670),2)</f>
        <v>15522.41</v>
      </c>
      <c r="H672" s="19">
        <f>ROUND((H664+H669)/(H665+H670),2)</f>
        <v>16336.64</v>
      </c>
      <c r="I672" s="19">
        <f>ROUND((I664+I669)/(I665+I670),2)</f>
        <v>16124.87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Hillsboro Deering Cooperative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5451315</v>
      </c>
      <c r="C9" s="229">
        <f>'DOE25'!G197+'DOE25'!G215+'DOE25'!G233+'DOE25'!G276+'DOE25'!G295+'DOE25'!G314</f>
        <v>2542242</v>
      </c>
    </row>
    <row r="10" spans="1:3" x14ac:dyDescent="0.2">
      <c r="A10" t="s">
        <v>779</v>
      </c>
      <c r="B10" s="240">
        <v>5235451</v>
      </c>
      <c r="C10" s="240">
        <v>1819101</v>
      </c>
    </row>
    <row r="11" spans="1:3" x14ac:dyDescent="0.2">
      <c r="A11" t="s">
        <v>780</v>
      </c>
      <c r="B11" s="240">
        <v>108098</v>
      </c>
      <c r="C11" s="240">
        <v>721807</v>
      </c>
    </row>
    <row r="12" spans="1:3" x14ac:dyDescent="0.2">
      <c r="A12" t="s">
        <v>781</v>
      </c>
      <c r="B12" s="240">
        <v>107766</v>
      </c>
      <c r="C12" s="240">
        <v>1334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5451315</v>
      </c>
      <c r="C13" s="231">
        <f>SUM(C10:C12)</f>
        <v>2542242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2038830</v>
      </c>
      <c r="C18" s="229">
        <f>'DOE25'!G198+'DOE25'!G216+'DOE25'!G234+'DOE25'!G277+'DOE25'!G296+'DOE25'!G315</f>
        <v>1229623</v>
      </c>
    </row>
    <row r="19" spans="1:3" x14ac:dyDescent="0.2">
      <c r="A19" t="s">
        <v>779</v>
      </c>
      <c r="B19" s="240">
        <v>1132151</v>
      </c>
      <c r="C19" s="240">
        <v>850071</v>
      </c>
    </row>
    <row r="20" spans="1:3" x14ac:dyDescent="0.2">
      <c r="A20" t="s">
        <v>780</v>
      </c>
      <c r="B20" s="240">
        <v>606865</v>
      </c>
      <c r="C20" s="240">
        <v>341359</v>
      </c>
    </row>
    <row r="21" spans="1:3" x14ac:dyDescent="0.2">
      <c r="A21" t="s">
        <v>781</v>
      </c>
      <c r="B21" s="240">
        <v>299814</v>
      </c>
      <c r="C21" s="240">
        <v>38193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2038830</v>
      </c>
      <c r="C22" s="231">
        <f>SUM(C19:C21)</f>
        <v>1229623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126094</v>
      </c>
      <c r="C36" s="235">
        <f>'DOE25'!G200+'DOE25'!G218+'DOE25'!G236+'DOE25'!G279+'DOE25'!G298+'DOE25'!G317</f>
        <v>33392</v>
      </c>
    </row>
    <row r="37" spans="1:3" x14ac:dyDescent="0.2">
      <c r="A37" t="s">
        <v>779</v>
      </c>
      <c r="B37" s="240">
        <v>68832</v>
      </c>
      <c r="C37" s="240">
        <v>29011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57262</v>
      </c>
      <c r="C39" s="240">
        <v>4381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126094</v>
      </c>
      <c r="C40" s="231">
        <f>SUM(C37:C39)</f>
        <v>33392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Hillsboro Deering Cooperative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11861866</v>
      </c>
      <c r="D5" s="20">
        <f>SUM('DOE25'!L197:L200)+SUM('DOE25'!L215:L218)+SUM('DOE25'!L233:L236)-F5-G5</f>
        <v>11769870</v>
      </c>
      <c r="E5" s="243"/>
      <c r="F5" s="255">
        <f>SUM('DOE25'!J197:J200)+SUM('DOE25'!J215:J218)+SUM('DOE25'!J233:J236)</f>
        <v>53470</v>
      </c>
      <c r="G5" s="53">
        <f>SUM('DOE25'!K197:K200)+SUM('DOE25'!K215:K218)+SUM('DOE25'!K233:K236)</f>
        <v>38526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1478834</v>
      </c>
      <c r="D6" s="20">
        <f>'DOE25'!L202+'DOE25'!L220+'DOE25'!L238-F6-G6</f>
        <v>1476720</v>
      </c>
      <c r="E6" s="243"/>
      <c r="F6" s="255">
        <f>'DOE25'!J202+'DOE25'!J220+'DOE25'!J238</f>
        <v>2114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898119</v>
      </c>
      <c r="D7" s="20">
        <f>'DOE25'!L203+'DOE25'!L221+'DOE25'!L239-F7-G7</f>
        <v>723632</v>
      </c>
      <c r="E7" s="243"/>
      <c r="F7" s="255">
        <f>'DOE25'!J203+'DOE25'!J221+'DOE25'!J239</f>
        <v>174142</v>
      </c>
      <c r="G7" s="53">
        <f>'DOE25'!K203+'DOE25'!K221+'DOE25'!K239</f>
        <v>345</v>
      </c>
      <c r="H7" s="259"/>
    </row>
    <row r="8" spans="1:9" x14ac:dyDescent="0.2">
      <c r="A8" s="32">
        <v>2300</v>
      </c>
      <c r="B8" t="s">
        <v>802</v>
      </c>
      <c r="C8" s="245">
        <f t="shared" si="0"/>
        <v>828238</v>
      </c>
      <c r="D8" s="243"/>
      <c r="E8" s="20">
        <f>'DOE25'!L204+'DOE25'!L222+'DOE25'!L240-F8-G8-D9-D11</f>
        <v>816702</v>
      </c>
      <c r="F8" s="255">
        <f>'DOE25'!J204+'DOE25'!J222+'DOE25'!J240</f>
        <v>0</v>
      </c>
      <c r="G8" s="53">
        <f>'DOE25'!K204+'DOE25'!K222+'DOE25'!K240</f>
        <v>11536</v>
      </c>
      <c r="H8" s="259"/>
    </row>
    <row r="9" spans="1:9" x14ac:dyDescent="0.2">
      <c r="A9" s="32">
        <v>2310</v>
      </c>
      <c r="B9" t="s">
        <v>818</v>
      </c>
      <c r="C9" s="245">
        <f t="shared" si="0"/>
        <v>20793</v>
      </c>
      <c r="D9" s="244">
        <v>20793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9320</v>
      </c>
      <c r="D10" s="243"/>
      <c r="E10" s="244">
        <v>9320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218275</v>
      </c>
      <c r="D11" s="244">
        <v>218275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1016433</v>
      </c>
      <c r="D12" s="20">
        <f>'DOE25'!L205+'DOE25'!L223+'DOE25'!L241-F12-G12</f>
        <v>974663</v>
      </c>
      <c r="E12" s="243"/>
      <c r="F12" s="255">
        <f>'DOE25'!J205+'DOE25'!J223+'DOE25'!J241</f>
        <v>976</v>
      </c>
      <c r="G12" s="53">
        <f>'DOE25'!K205+'DOE25'!K223+'DOE25'!K241</f>
        <v>40794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9619</v>
      </c>
      <c r="D13" s="243"/>
      <c r="E13" s="20">
        <f>'DOE25'!L206+'DOE25'!L224+'DOE25'!L242-F13-G13</f>
        <v>9619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2222627</v>
      </c>
      <c r="D14" s="20">
        <f>'DOE25'!L207+'DOE25'!L225+'DOE25'!L243-F14-G14</f>
        <v>2104267</v>
      </c>
      <c r="E14" s="243"/>
      <c r="F14" s="255">
        <f>'DOE25'!J207+'DOE25'!J225+'DOE25'!J243</f>
        <v>118360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728751</v>
      </c>
      <c r="D15" s="20">
        <f>'DOE25'!L208+'DOE25'!L226+'DOE25'!L244-F15-G15</f>
        <v>728751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36873</v>
      </c>
      <c r="D22" s="243"/>
      <c r="E22" s="243"/>
      <c r="F22" s="255">
        <f>'DOE25'!L255+'DOE25'!L336</f>
        <v>36873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1004889</v>
      </c>
      <c r="D25" s="243"/>
      <c r="E25" s="243"/>
      <c r="F25" s="258"/>
      <c r="G25" s="256"/>
      <c r="H25" s="257">
        <f>'DOE25'!L260+'DOE25'!L261+'DOE25'!L341+'DOE25'!L342</f>
        <v>1004889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383866</v>
      </c>
      <c r="D29" s="20">
        <f>'DOE25'!L358+'DOE25'!L359+'DOE25'!L360-'DOE25'!I367-F29-G29</f>
        <v>363876</v>
      </c>
      <c r="E29" s="243"/>
      <c r="F29" s="255">
        <f>'DOE25'!J358+'DOE25'!J359+'DOE25'!J360</f>
        <v>19990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1219924</v>
      </c>
      <c r="D31" s="20">
        <f>'DOE25'!L290+'DOE25'!L309+'DOE25'!L328+'DOE25'!L333+'DOE25'!L334+'DOE25'!L335-F31-G31</f>
        <v>1172190</v>
      </c>
      <c r="E31" s="243"/>
      <c r="F31" s="255">
        <f>'DOE25'!J290+'DOE25'!J309+'DOE25'!J328+'DOE25'!J333+'DOE25'!J334+'DOE25'!J335</f>
        <v>47734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19553037</v>
      </c>
      <c r="E33" s="246">
        <f>SUM(E5:E31)</f>
        <v>835641</v>
      </c>
      <c r="F33" s="246">
        <f>SUM(F5:F31)</f>
        <v>453659</v>
      </c>
      <c r="G33" s="246">
        <f>SUM(G5:G31)</f>
        <v>91201</v>
      </c>
      <c r="H33" s="246">
        <f>SUM(H5:H31)</f>
        <v>1004889</v>
      </c>
    </row>
    <row r="35" spans="2:8" ht="12" thickBot="1" x14ac:dyDescent="0.25">
      <c r="B35" s="253" t="s">
        <v>847</v>
      </c>
      <c r="D35" s="254">
        <f>E33</f>
        <v>835641</v>
      </c>
      <c r="E35" s="249"/>
    </row>
    <row r="36" spans="2:8" ht="12" thickTop="1" x14ac:dyDescent="0.2">
      <c r="B36" t="s">
        <v>815</v>
      </c>
      <c r="D36" s="20">
        <f>D33</f>
        <v>19553037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Hillsboro Deering Cooperative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722758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606583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78497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763065</v>
      </c>
      <c r="D12" s="95">
        <f>'DOE25'!G13</f>
        <v>64633</v>
      </c>
      <c r="E12" s="95">
        <f>'DOE25'!H13</f>
        <v>223940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10392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14828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1496215</v>
      </c>
      <c r="D18" s="41">
        <f>SUM(D8:D17)</f>
        <v>79461</v>
      </c>
      <c r="E18" s="41">
        <f>SUM(E8:E17)</f>
        <v>302437</v>
      </c>
      <c r="F18" s="41">
        <f>SUM(F8:F17)</f>
        <v>0</v>
      </c>
      <c r="G18" s="41">
        <f>SUM(G8:G17)</f>
        <v>606583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45003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58386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167775</v>
      </c>
      <c r="D23" s="95">
        <f>'DOE25'!G24</f>
        <v>105</v>
      </c>
      <c r="E23" s="95">
        <f>'DOE25'!H24</f>
        <v>4620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294217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226161</v>
      </c>
      <c r="D31" s="41">
        <f>SUM(D21:D30)</f>
        <v>45108</v>
      </c>
      <c r="E31" s="41">
        <f>SUM(E21:E30)</f>
        <v>298837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14828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606583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142820</v>
      </c>
      <c r="D48" s="95">
        <f>'DOE25'!G49</f>
        <v>19525</v>
      </c>
      <c r="E48" s="95">
        <f>'DOE25'!H49</f>
        <v>3600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1027234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1270054</v>
      </c>
      <c r="D50" s="41">
        <f>SUM(D34:D49)</f>
        <v>34353</v>
      </c>
      <c r="E50" s="41">
        <f>SUM(E34:E49)</f>
        <v>3600</v>
      </c>
      <c r="F50" s="41">
        <f>SUM(F34:F49)</f>
        <v>0</v>
      </c>
      <c r="G50" s="41">
        <f>SUM(G34:G49)</f>
        <v>606583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1496215</v>
      </c>
      <c r="D51" s="41">
        <f>D50+D31</f>
        <v>79461</v>
      </c>
      <c r="E51" s="41">
        <f>E50+E31</f>
        <v>302437</v>
      </c>
      <c r="F51" s="41">
        <f>F50+F31</f>
        <v>0</v>
      </c>
      <c r="G51" s="41">
        <f>G50+G31</f>
        <v>606583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9741176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1686830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235891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26251</v>
      </c>
      <c r="D61" s="95">
        <f>SUM('DOE25'!G98:G110)</f>
        <v>0</v>
      </c>
      <c r="E61" s="95">
        <f>SUM('DOE25'!H98:H110)</f>
        <v>208052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1713081</v>
      </c>
      <c r="D62" s="130">
        <f>SUM(D57:D61)</f>
        <v>235891</v>
      </c>
      <c r="E62" s="130">
        <f>SUM(E57:E61)</f>
        <v>208052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11454257</v>
      </c>
      <c r="D63" s="22">
        <f>D56+D62</f>
        <v>235891</v>
      </c>
      <c r="E63" s="22">
        <f>E56+E62</f>
        <v>208052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6215437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1563460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7778897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369132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89802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17310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5893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476244</v>
      </c>
      <c r="D78" s="130">
        <f>SUM(D72:D77)</f>
        <v>5893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8255141</v>
      </c>
      <c r="D81" s="130">
        <f>SUM(D79:D80)+D78+D70</f>
        <v>5893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199486</v>
      </c>
      <c r="D88" s="95">
        <f>SUM('DOE25'!G153:G161)</f>
        <v>348254</v>
      </c>
      <c r="E88" s="95">
        <f>SUM('DOE25'!H153:H161)</f>
        <v>1084120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199486</v>
      </c>
      <c r="D91" s="131">
        <f>SUM(D85:D90)</f>
        <v>348254</v>
      </c>
      <c r="E91" s="131">
        <f>SUM(E85:E90)</f>
        <v>1084120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82000</v>
      </c>
      <c r="E96" s="95">
        <f>'DOE25'!H179</f>
        <v>0</v>
      </c>
      <c r="F96" s="95">
        <f>'DOE25'!I179</f>
        <v>0</v>
      </c>
      <c r="G96" s="95">
        <f>'DOE25'!J179</f>
        <v>150000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82000</v>
      </c>
      <c r="E103" s="86">
        <f>SUM(E93:E102)</f>
        <v>0</v>
      </c>
      <c r="F103" s="86">
        <f>SUM(F93:F102)</f>
        <v>0</v>
      </c>
      <c r="G103" s="86">
        <f>SUM(G93:G102)</f>
        <v>150000</v>
      </c>
    </row>
    <row r="104" spans="1:7" ht="12.75" thickTop="1" thickBot="1" x14ac:dyDescent="0.25">
      <c r="A104" s="33" t="s">
        <v>765</v>
      </c>
      <c r="C104" s="86">
        <f>C63+C81+C91+C103</f>
        <v>19908884</v>
      </c>
      <c r="D104" s="86">
        <f>D63+D81+D91+D103</f>
        <v>672038</v>
      </c>
      <c r="E104" s="86">
        <f>E63+E81+E91+E103</f>
        <v>1292172</v>
      </c>
      <c r="F104" s="86">
        <f>F63+F81+F91+F103</f>
        <v>0</v>
      </c>
      <c r="G104" s="86">
        <f>G63+G81+G103</f>
        <v>150000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7502110</v>
      </c>
      <c r="D109" s="24" t="s">
        <v>289</v>
      </c>
      <c r="E109" s="95">
        <f>('DOE25'!L276)+('DOE25'!L295)+('DOE25'!L314)</f>
        <v>1219924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4079648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47667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232441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11861866</v>
      </c>
      <c r="D115" s="86">
        <f>SUM(D109:D114)</f>
        <v>0</v>
      </c>
      <c r="E115" s="86">
        <f>SUM(E109:E114)</f>
        <v>1219924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1478834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898119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1067306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1016433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9619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2222627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728751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637685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7421689</v>
      </c>
      <c r="D128" s="86">
        <f>SUM(D118:D127)</f>
        <v>637685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36873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735000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269889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82000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150000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1273762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20557317</v>
      </c>
      <c r="D145" s="86">
        <f>(D115+D128+D144)</f>
        <v>637685</v>
      </c>
      <c r="E145" s="86">
        <f>(E115+E128+E144)</f>
        <v>1219924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14750000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6615000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6615000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735000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735000</v>
      </c>
    </row>
    <row r="159" spans="1:9" x14ac:dyDescent="0.2">
      <c r="A159" s="22" t="s">
        <v>35</v>
      </c>
      <c r="B159" s="137">
        <f>'DOE25'!F498</f>
        <v>5880000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5880000</v>
      </c>
    </row>
    <row r="160" spans="1:9" x14ac:dyDescent="0.2">
      <c r="A160" s="22" t="s">
        <v>36</v>
      </c>
      <c r="B160" s="137">
        <f>'DOE25'!F499</f>
        <v>1049498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1049498</v>
      </c>
    </row>
    <row r="161" spans="1:7" x14ac:dyDescent="0.2">
      <c r="A161" s="22" t="s">
        <v>37</v>
      </c>
      <c r="B161" s="137">
        <f>'DOE25'!F500</f>
        <v>6929498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6929498</v>
      </c>
    </row>
    <row r="162" spans="1:7" x14ac:dyDescent="0.2">
      <c r="A162" s="22" t="s">
        <v>38</v>
      </c>
      <c r="B162" s="137">
        <f>'DOE25'!F501</f>
        <v>735000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735000</v>
      </c>
    </row>
    <row r="163" spans="1:7" x14ac:dyDescent="0.2">
      <c r="A163" s="22" t="s">
        <v>39</v>
      </c>
      <c r="B163" s="137">
        <f>'DOE25'!F502</f>
        <v>267468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267468</v>
      </c>
    </row>
    <row r="164" spans="1:7" x14ac:dyDescent="0.2">
      <c r="A164" s="22" t="s">
        <v>246</v>
      </c>
      <c r="B164" s="137">
        <f>'DOE25'!F503</f>
        <v>1002468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1002468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Hillsboro Deering Cooperative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16290</v>
      </c>
    </row>
    <row r="5" spans="1:4" x14ac:dyDescent="0.2">
      <c r="B5" t="s">
        <v>704</v>
      </c>
      <c r="C5" s="179">
        <f>IF('DOE25'!G665+'DOE25'!G670=0,0,ROUND('DOE25'!G672,0))</f>
        <v>15522</v>
      </c>
    </row>
    <row r="6" spans="1:4" x14ac:dyDescent="0.2">
      <c r="B6" t="s">
        <v>62</v>
      </c>
      <c r="C6" s="179">
        <f>IF('DOE25'!H665+'DOE25'!H670=0,0,ROUND('DOE25'!H672,0))</f>
        <v>16337</v>
      </c>
    </row>
    <row r="7" spans="1:4" x14ac:dyDescent="0.2">
      <c r="B7" t="s">
        <v>705</v>
      </c>
      <c r="C7" s="179">
        <f>IF('DOE25'!I665+'DOE25'!I670=0,0,ROUND('DOE25'!I672,0))</f>
        <v>16125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8722034</v>
      </c>
      <c r="D10" s="182">
        <f>ROUND((C10/$C$28)*100,1)</f>
        <v>41.2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4079648</v>
      </c>
      <c r="D11" s="182">
        <f>ROUND((C11/$C$28)*100,1)</f>
        <v>19.3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47667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232441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1478834</v>
      </c>
      <c r="D15" s="182">
        <f t="shared" ref="D15:D27" si="0">ROUND((C15/$C$28)*100,1)</f>
        <v>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898119</v>
      </c>
      <c r="D16" s="182">
        <f t="shared" si="0"/>
        <v>4.2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1067306</v>
      </c>
      <c r="D17" s="182">
        <f t="shared" si="0"/>
        <v>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1016433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9619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2222627</v>
      </c>
      <c r="D20" s="182">
        <f t="shared" si="0"/>
        <v>10.5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728751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269889</v>
      </c>
      <c r="D25" s="182">
        <f t="shared" si="0"/>
        <v>1.3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401794</v>
      </c>
      <c r="D27" s="182">
        <f t="shared" si="0"/>
        <v>1.9</v>
      </c>
    </row>
    <row r="28" spans="1:4" x14ac:dyDescent="0.2">
      <c r="B28" s="187" t="s">
        <v>723</v>
      </c>
      <c r="C28" s="180">
        <f>SUM(C10:C27)</f>
        <v>21175162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36873</v>
      </c>
    </row>
    <row r="30" spans="1:4" x14ac:dyDescent="0.2">
      <c r="B30" s="187" t="s">
        <v>729</v>
      </c>
      <c r="C30" s="180">
        <f>SUM(C28:C29)</f>
        <v>21212035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735000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9741176</v>
      </c>
      <c r="D35" s="182">
        <f t="shared" ref="D35:D40" si="1">ROUND((C35/$C$41)*100,1)</f>
        <v>45.2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1921133</v>
      </c>
      <c r="D36" s="182">
        <f t="shared" si="1"/>
        <v>8.9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7778897</v>
      </c>
      <c r="D37" s="182">
        <f t="shared" si="1"/>
        <v>36.1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482137</v>
      </c>
      <c r="D38" s="182">
        <f t="shared" si="1"/>
        <v>2.2000000000000002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1631860</v>
      </c>
      <c r="D39" s="182">
        <f t="shared" si="1"/>
        <v>7.6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21555203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4" sqref="C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Hillsboro Deering Cooperative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2</v>
      </c>
      <c r="B4" s="219">
        <v>1</v>
      </c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2015-10-02T19:01:26Z</cp:lastPrinted>
  <dcterms:created xsi:type="dcterms:W3CDTF">1997-12-04T19:04:30Z</dcterms:created>
  <dcterms:modified xsi:type="dcterms:W3CDTF">2015-11-25T18:27:50Z</dcterms:modified>
</cp:coreProperties>
</file>