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22" i="1" l="1"/>
  <c r="H240" i="1"/>
  <c r="F13" i="1"/>
  <c r="F50" i="1"/>
  <c r="F472" i="1"/>
  <c r="G523" i="1" l="1"/>
  <c r="C39" i="12"/>
  <c r="C37" i="12"/>
  <c r="C21" i="12"/>
  <c r="C20" i="12"/>
  <c r="C19" i="12"/>
  <c r="C12" i="12"/>
  <c r="C10" i="12"/>
  <c r="H523" i="1"/>
  <c r="H528" i="1"/>
  <c r="H527" i="1"/>
  <c r="F523" i="1"/>
  <c r="F522" i="1"/>
  <c r="F532" i="1"/>
  <c r="B12" i="12"/>
  <c r="G43" i="1" l="1"/>
  <c r="I604" i="1"/>
  <c r="H225" i="1"/>
  <c r="G221" i="1"/>
  <c r="G239" i="1"/>
  <c r="H216" i="1"/>
  <c r="J233" i="1"/>
  <c r="H233" i="1"/>
  <c r="I215" i="1"/>
  <c r="H215" i="1"/>
  <c r="J592" i="1" l="1"/>
  <c r="J595" i="1"/>
  <c r="J597" i="1"/>
  <c r="J594" i="1"/>
  <c r="J593" i="1"/>
  <c r="J591" i="1"/>
  <c r="I597" i="1"/>
  <c r="I594" i="1"/>
  <c r="I592" i="1"/>
  <c r="I591" i="1"/>
  <c r="H218" i="1"/>
  <c r="H226" i="1"/>
  <c r="H236" i="1"/>
  <c r="H244" i="1"/>
  <c r="H235" i="1"/>
  <c r="H234" i="1"/>
  <c r="H243" i="1"/>
  <c r="I241" i="1"/>
  <c r="I223" i="1"/>
  <c r="H241" i="1"/>
  <c r="H223" i="1"/>
  <c r="H238" i="1"/>
  <c r="H220" i="1"/>
  <c r="K233" i="1"/>
  <c r="K215" i="1"/>
  <c r="F241" i="1"/>
  <c r="F223" i="1"/>
  <c r="F239" i="1"/>
  <c r="F221" i="1"/>
  <c r="F234" i="1"/>
  <c r="F216" i="1"/>
  <c r="F233" i="1"/>
  <c r="F215" i="1"/>
  <c r="F238" i="1"/>
  <c r="I360" i="1"/>
  <c r="I359" i="1"/>
  <c r="H360" i="1"/>
  <c r="H359" i="1"/>
  <c r="F359" i="1"/>
  <c r="F360" i="1"/>
  <c r="J255" i="1"/>
  <c r="G158" i="1"/>
  <c r="G97" i="1"/>
  <c r="G9" i="1"/>
  <c r="H426" i="1"/>
  <c r="I426" i="1"/>
  <c r="F96" i="1" l="1"/>
  <c r="F98" i="1"/>
  <c r="F57" i="1"/>
  <c r="F29" i="1"/>
  <c r="F9" i="1"/>
  <c r="I502" i="1"/>
  <c r="H502" i="1"/>
  <c r="H501" i="1"/>
  <c r="F502" i="1"/>
  <c r="I498" i="1"/>
  <c r="H498" i="1"/>
  <c r="G498" i="1"/>
  <c r="F498" i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D50" i="2" s="1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E8" i="13" s="1"/>
  <c r="C8" i="13" s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G651" i="1" s="1"/>
  <c r="J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E110" i="2" s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1" i="1" s="1"/>
  <c r="C139" i="2" s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D85" i="2" s="1"/>
  <c r="D91" i="2" s="1"/>
  <c r="G162" i="1"/>
  <c r="H147" i="1"/>
  <c r="H162" i="1"/>
  <c r="I147" i="1"/>
  <c r="I162" i="1"/>
  <c r="L250" i="1"/>
  <c r="L332" i="1"/>
  <c r="L254" i="1"/>
  <c r="C25" i="10"/>
  <c r="L268" i="1"/>
  <c r="L269" i="1"/>
  <c r="L349" i="1"/>
  <c r="L350" i="1"/>
  <c r="I665" i="1"/>
  <c r="I670" i="1"/>
  <c r="F661" i="1"/>
  <c r="G661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F552" i="1" s="1"/>
  <c r="L523" i="1"/>
  <c r="F551" i="1" s="1"/>
  <c r="L526" i="1"/>
  <c r="G549" i="1" s="1"/>
  <c r="L527" i="1"/>
  <c r="G550" i="1" s="1"/>
  <c r="L528" i="1"/>
  <c r="G551" i="1" s="1"/>
  <c r="G552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D31" i="2" s="1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C62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2" i="2"/>
  <c r="C113" i="2"/>
  <c r="E113" i="2"/>
  <c r="C114" i="2"/>
  <c r="E114" i="2"/>
  <c r="D115" i="2"/>
  <c r="F115" i="2"/>
  <c r="G115" i="2"/>
  <c r="E118" i="2"/>
  <c r="E119" i="2"/>
  <c r="E120" i="2"/>
  <c r="E121" i="2"/>
  <c r="E122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G338" i="1" s="1"/>
  <c r="G352" i="1" s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J644" i="1" s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L427" i="1" s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F461" i="1"/>
  <c r="G461" i="1"/>
  <c r="H461" i="1"/>
  <c r="F470" i="1"/>
  <c r="G470" i="1"/>
  <c r="H470" i="1"/>
  <c r="H476" i="1" s="1"/>
  <c r="H624" i="1" s="1"/>
  <c r="J624" i="1" s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H640" i="1"/>
  <c r="G641" i="1"/>
  <c r="H641" i="1"/>
  <c r="G643" i="1"/>
  <c r="H643" i="1"/>
  <c r="G644" i="1"/>
  <c r="G650" i="1"/>
  <c r="G652" i="1"/>
  <c r="H652" i="1"/>
  <c r="G653" i="1"/>
  <c r="H653" i="1"/>
  <c r="G654" i="1"/>
  <c r="H654" i="1"/>
  <c r="H655" i="1"/>
  <c r="L256" i="1"/>
  <c r="C26" i="10"/>
  <c r="L351" i="1"/>
  <c r="L290" i="1"/>
  <c r="C70" i="2"/>
  <c r="D18" i="13"/>
  <c r="C18" i="13" s="1"/>
  <c r="D17" i="13"/>
  <c r="C17" i="13" s="1"/>
  <c r="C91" i="2"/>
  <c r="F78" i="2"/>
  <c r="F81" i="2" s="1"/>
  <c r="G157" i="2"/>
  <c r="F18" i="2"/>
  <c r="G156" i="2"/>
  <c r="E103" i="2"/>
  <c r="E62" i="2"/>
  <c r="E63" i="2" s="1"/>
  <c r="E31" i="2"/>
  <c r="D29" i="13"/>
  <c r="C29" i="13" s="1"/>
  <c r="D19" i="13"/>
  <c r="C19" i="13" s="1"/>
  <c r="E78" i="2"/>
  <c r="E81" i="2" s="1"/>
  <c r="H112" i="1"/>
  <c r="J641" i="1"/>
  <c r="J639" i="1"/>
  <c r="J571" i="1"/>
  <c r="K571" i="1"/>
  <c r="L433" i="1"/>
  <c r="L419" i="1"/>
  <c r="D81" i="2"/>
  <c r="I169" i="1"/>
  <c r="H169" i="1"/>
  <c r="J643" i="1"/>
  <c r="I476" i="1"/>
  <c r="H625" i="1" s="1"/>
  <c r="J625" i="1" s="1"/>
  <c r="G476" i="1"/>
  <c r="H623" i="1" s="1"/>
  <c r="F169" i="1"/>
  <c r="J140" i="1"/>
  <c r="F571" i="1"/>
  <c r="I552" i="1"/>
  <c r="K549" i="1"/>
  <c r="G22" i="2"/>
  <c r="K545" i="1"/>
  <c r="C29" i="10"/>
  <c r="H140" i="1"/>
  <c r="L393" i="1"/>
  <c r="F22" i="13"/>
  <c r="C22" i="13" s="1"/>
  <c r="H25" i="13"/>
  <c r="C25" i="13" s="1"/>
  <c r="H571" i="1"/>
  <c r="L560" i="1"/>
  <c r="J545" i="1"/>
  <c r="G192" i="1"/>
  <c r="H192" i="1"/>
  <c r="E128" i="2"/>
  <c r="C35" i="10"/>
  <c r="E16" i="13"/>
  <c r="L570" i="1"/>
  <c r="I571" i="1"/>
  <c r="J636" i="1"/>
  <c r="G36" i="2"/>
  <c r="L565" i="1"/>
  <c r="C138" i="2"/>
  <c r="C16" i="13"/>
  <c r="C17" i="10" l="1"/>
  <c r="G545" i="1"/>
  <c r="I545" i="1"/>
  <c r="L544" i="1"/>
  <c r="L539" i="1"/>
  <c r="H545" i="1"/>
  <c r="K551" i="1"/>
  <c r="H552" i="1"/>
  <c r="L524" i="1"/>
  <c r="K550" i="1"/>
  <c r="L529" i="1"/>
  <c r="L534" i="1"/>
  <c r="A40" i="12"/>
  <c r="A31" i="12"/>
  <c r="E109" i="2"/>
  <c r="E115" i="2" s="1"/>
  <c r="E145" i="2" s="1"/>
  <c r="L328" i="1"/>
  <c r="H338" i="1"/>
  <c r="H352" i="1" s="1"/>
  <c r="L309" i="1"/>
  <c r="F338" i="1"/>
  <c r="F352" i="1" s="1"/>
  <c r="C16" i="10"/>
  <c r="F476" i="1"/>
  <c r="H622" i="1" s="1"/>
  <c r="J622" i="1" s="1"/>
  <c r="K598" i="1"/>
  <c r="G647" i="1" s="1"/>
  <c r="H662" i="1"/>
  <c r="C123" i="2"/>
  <c r="H661" i="1"/>
  <c r="I661" i="1" s="1"/>
  <c r="J634" i="1"/>
  <c r="L362" i="1"/>
  <c r="C27" i="10" s="1"/>
  <c r="D145" i="2"/>
  <c r="I460" i="1"/>
  <c r="I461" i="1" s="1"/>
  <c r="H642" i="1" s="1"/>
  <c r="J642" i="1" s="1"/>
  <c r="J640" i="1"/>
  <c r="I446" i="1"/>
  <c r="G642" i="1" s="1"/>
  <c r="J623" i="1"/>
  <c r="J617" i="1"/>
  <c r="H52" i="1"/>
  <c r="H619" i="1" s="1"/>
  <c r="J619" i="1" s="1"/>
  <c r="D18" i="2"/>
  <c r="G645" i="1"/>
  <c r="J645" i="1"/>
  <c r="H33" i="13"/>
  <c r="J257" i="1"/>
  <c r="J271" i="1" s="1"/>
  <c r="C13" i="10"/>
  <c r="C12" i="10"/>
  <c r="L247" i="1"/>
  <c r="K257" i="1"/>
  <c r="K271" i="1" s="1"/>
  <c r="I257" i="1"/>
  <c r="I271" i="1" s="1"/>
  <c r="C124" i="2"/>
  <c r="H257" i="1"/>
  <c r="H271" i="1" s="1"/>
  <c r="G257" i="1"/>
  <c r="G271" i="1" s="1"/>
  <c r="C112" i="2"/>
  <c r="L229" i="1"/>
  <c r="G660" i="1" s="1"/>
  <c r="G664" i="1" s="1"/>
  <c r="G672" i="1" s="1"/>
  <c r="C5" i="10" s="1"/>
  <c r="C119" i="2"/>
  <c r="D7" i="13"/>
  <c r="C7" i="13" s="1"/>
  <c r="C118" i="2"/>
  <c r="C110" i="2"/>
  <c r="F257" i="1"/>
  <c r="F271" i="1" s="1"/>
  <c r="C109" i="2"/>
  <c r="C120" i="2"/>
  <c r="D14" i="13"/>
  <c r="C14" i="13" s="1"/>
  <c r="D12" i="13"/>
  <c r="C12" i="13" s="1"/>
  <c r="A13" i="12"/>
  <c r="F662" i="1"/>
  <c r="C21" i="10"/>
  <c r="C20" i="10"/>
  <c r="G649" i="1"/>
  <c r="J649" i="1" s="1"/>
  <c r="D15" i="13"/>
  <c r="C15" i="13" s="1"/>
  <c r="H647" i="1"/>
  <c r="C19" i="10"/>
  <c r="C11" i="10"/>
  <c r="C121" i="2"/>
  <c r="E13" i="13"/>
  <c r="C13" i="13" s="1"/>
  <c r="C18" i="10"/>
  <c r="D6" i="13"/>
  <c r="C6" i="13" s="1"/>
  <c r="L211" i="1"/>
  <c r="C15" i="10"/>
  <c r="C10" i="10"/>
  <c r="D5" i="13"/>
  <c r="C5" i="13" s="1"/>
  <c r="C81" i="2"/>
  <c r="F112" i="1"/>
  <c r="C36" i="10" s="1"/>
  <c r="C63" i="2"/>
  <c r="C104" i="2" s="1"/>
  <c r="C18" i="2"/>
  <c r="K503" i="1"/>
  <c r="G161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F33" i="13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J652" i="1"/>
  <c r="G571" i="1"/>
  <c r="I434" i="1"/>
  <c r="G434" i="1"/>
  <c r="I663" i="1"/>
  <c r="K552" i="1" l="1"/>
  <c r="L545" i="1"/>
  <c r="L338" i="1"/>
  <c r="L352" i="1" s="1"/>
  <c r="G633" i="1" s="1"/>
  <c r="J633" i="1" s="1"/>
  <c r="H660" i="1"/>
  <c r="H664" i="1" s="1"/>
  <c r="H672" i="1" s="1"/>
  <c r="C6" i="10" s="1"/>
  <c r="J647" i="1"/>
  <c r="I662" i="1"/>
  <c r="G635" i="1"/>
  <c r="J635" i="1" s="1"/>
  <c r="F193" i="1"/>
  <c r="G627" i="1" s="1"/>
  <c r="J627" i="1" s="1"/>
  <c r="G51" i="2"/>
  <c r="D31" i="13"/>
  <c r="C31" i="13" s="1"/>
  <c r="G104" i="2"/>
  <c r="H646" i="1"/>
  <c r="J646" i="1" s="1"/>
  <c r="H648" i="1"/>
  <c r="J648" i="1" s="1"/>
  <c r="C115" i="2"/>
  <c r="L257" i="1"/>
  <c r="L271" i="1" s="1"/>
  <c r="G632" i="1" s="1"/>
  <c r="J632" i="1" s="1"/>
  <c r="C128" i="2"/>
  <c r="G667" i="1"/>
  <c r="F660" i="1"/>
  <c r="F664" i="1" s="1"/>
  <c r="F672" i="1" s="1"/>
  <c r="C4" i="10" s="1"/>
  <c r="E33" i="13"/>
  <c r="D35" i="13" s="1"/>
  <c r="C28" i="10"/>
  <c r="D23" i="10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/>
  <c r="I672" i="1" s="1"/>
  <c r="C7" i="10" s="1"/>
  <c r="H667" i="1"/>
  <c r="D33" i="13"/>
  <c r="D36" i="13" s="1"/>
  <c r="C145" i="2"/>
  <c r="D12" i="10"/>
  <c r="D15" i="10"/>
  <c r="D19" i="10"/>
  <c r="D13" i="10"/>
  <c r="F667" i="1"/>
  <c r="D10" i="10"/>
  <c r="D11" i="10"/>
  <c r="D20" i="10"/>
  <c r="D17" i="10"/>
  <c r="D27" i="10"/>
  <c r="D18" i="10"/>
  <c r="D21" i="10"/>
  <c r="D26" i="10"/>
  <c r="D25" i="10"/>
  <c r="D22" i="10"/>
  <c r="D24" i="10"/>
  <c r="C30" i="10"/>
  <c r="D16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<sst xmlns="http://schemas.openxmlformats.org/spreadsheetml/2006/main" count="3963" uniqueCount="919">
  <si>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</si>
  <si>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</si>
  <si>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</si>
  <si>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</si>
  <si>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</si>
  <si>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</si>
  <si>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</si>
  <si>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</si>
  <si>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</si>
  <si>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</si>
  <si>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</si>
  <si>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</si>
  <si>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</si>
  <si>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</si>
  <si>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</si>
  <si>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</si>
  <si>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</si>
  <si>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</si>
  <si>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</si>
  <si>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</si>
  <si>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</si>
  <si>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</si>
  <si>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</si>
  <si>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</si>
  <si>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</si>
  <si>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</si>
  <si>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</si>
  <si>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</si>
  <si>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</si>
  <si>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</si>
  <si>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</si>
  <si>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</si>
  <si>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</si>
  <si>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</si>
  <si>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</si>
  <si>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</si>
  <si>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</si>
  <si>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</si>
  <si>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</si>
  <si>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</si>
  <si>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</si>
  <si>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</si>
  <si>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</si>
  <si>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</si>
  <si>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</si>
  <si>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</si>
  <si>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</si>
  <si>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</si>
  <si>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</si>
  <si>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</si>
  <si>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</si>
  <si>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</si>
  <si>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</si>
  <si>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</si>
  <si>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</si>
  <si>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</si>
  <si>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</si>
  <si>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</si>
  <si>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</si>
  <si>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</si>
  <si>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</si>
  <si>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</si>
  <si>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</si>
  <si>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</si>
  <si>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</si>
  <si>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</si>
  <si>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</si>
  <si>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</si>
  <si>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</si>
  <si>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</si>
  <si>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</si>
  <si>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</si>
  <si>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</si>
  <si>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</si>
  <si>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</si>
  <si>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</si>
  <si>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</si>
  <si>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</si>
  <si>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</si>
  <si>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</si>
  <si>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</si>
  <si>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</si>
  <si>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</si>
  <si>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</si>
  <si>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</si>
  <si>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</si>
  <si>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</si>
  <si>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</si>
  <si>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</si>
  <si>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</si>
  <si>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</si>
  <si>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</si>
  <si>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</si>
  <si>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</si>
  <si>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</si>
  <si>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</si>
  <si>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</si>
  <si>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</si>
  <si>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</si>
  <si>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</si>
  <si>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</si>
  <si>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</si>
  <si>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</si>
  <si>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</si>
  <si>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</si>
  <si>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</si>
  <si>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</si>
  <si>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</si>
  <si>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</si>
  <si>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</si>
  <si>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</si>
  <si>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</si>
  <si>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</si>
  <si>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</si>
  <si>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</si>
  <si>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</si>
  <si>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</si>
  <si>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</si>
  <si>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</si>
  <si>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</si>
  <si>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</si>
  <si>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</si>
  <si>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</si>
  <si>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</si>
  <si>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</si>
  <si>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</si>
  <si>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</si>
  <si>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</si>
  <si>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</si>
  <si>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</si>
  <si>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</si>
  <si>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</si>
  <si>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</si>
  <si>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</si>
  <si>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</si>
  <si>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</si>
  <si>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</si>
  <si>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</si>
  <si>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</si>
  <si>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</si>
  <si>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</si>
  <si>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</si>
  <si>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</si>
  <si>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</si>
  <si>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</si>
  <si>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</si>
  <si>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</si>
  <si>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</si>
  <si>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</si>
  <si>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</si>
  <si>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</si>
  <si>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</si>
  <si>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</si>
  <si>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</si>
  <si>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</si>
  <si>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</si>
  <si>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</si>
  <si>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</si>
  <si>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</si>
  <si>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</si>
  <si>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</si>
  <si>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</si>
  <si>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</si>
  <si>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</si>
  <si>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</si>
  <si>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</si>
  <si>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</si>
  <si>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</si>
  <si>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</si>
  <si>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</si>
  <si>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</si>
  <si>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</si>
  <si>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</si>
  <si>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</si>
  <si>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</si>
  <si>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</si>
  <si>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</si>
  <si>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</si>
  <si>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</si>
  <si>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</si>
  <si>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</si>
  <si>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</si>
  <si>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</si>
  <si>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</si>
  <si>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</si>
  <si>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</si>
  <si>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</si>
  <si>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</si>
  <si>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</si>
  <si>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</si>
  <si>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</si>
  <si>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</si>
  <si>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</si>
  <si>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</si>
  <si>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</si>
  <si>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</si>
  <si>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</si>
  <si>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</si>
  <si>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</si>
  <si>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</si>
  <si>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</si>
  <si>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</si>
  <si>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</si>
  <si>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</si>
  <si>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</si>
  <si>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</si>
  <si>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</si>
  <si>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</si>
  <si>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</si>
  <si>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</si>
  <si>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</si>
  <si>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</si>
  <si>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</si>
  <si>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</si>
  <si>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</si>
  <si>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</si>
  <si>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</si>
  <si>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</si>
  <si>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</si>
  <si>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</si>
  <si>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</si>
  <si>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</si>
  <si>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</si>
  <si>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</si>
  <si>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</si>
  <si>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</si>
  <si>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</si>
  <si>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</si>
  <si>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</si>
  <si>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</si>
  <si>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</si>
  <si>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</si>
  <si>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</si>
  <si>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</si>
  <si>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</si>
  <si>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</si>
  <si>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</si>
  <si>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</si>
  <si>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</si>
  <si>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</si>
  <si>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</si>
  <si>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</si>
  <si>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</si>
  <si>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</si>
  <si>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</si>
  <si>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</si>
  <si>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</si>
  <si>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</si>
  <si>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</si>
  <si>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</si>
  <si>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</si>
  <si>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</si>
  <si>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</si>
  <si>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</si>
  <si>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</si>
  <si>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</si>
  <si>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</si>
  <si>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</si>
  <si>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</si>
  <si>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</si>
  <si>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</si>
  <si>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</si>
  <si>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</si>
  <si>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</si>
  <si>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</si>
  <si>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</si>
  <si>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</si>
  <si>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</si>
  <si>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</si>
  <si>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</si>
  <si>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</si>
  <si>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</si>
  <si>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</si>
  <si>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</si>
  <si>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</si>
  <si>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</si>
  <si>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</si>
  <si>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</si>
  <si>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</si>
  <si>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</si>
  <si>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</si>
  <si>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</si>
  <si>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</si>
  <si>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</si>
  <si>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</si>
  <si>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</si>
  <si>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</si>
  <si>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</si>
  <si>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</si>
  <si>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</si>
  <si>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</si>
  <si>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</si>
  <si>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</si>
  <si>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</si>
  <si>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</si>
  <si>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</si>
  <si>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</si>
  <si>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</si>
  <si>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</si>
  <si>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</si>
  <si>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</si>
  <si>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</si>
  <si>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</si>
  <si>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</si>
  <si>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</si>
  <si>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</si>
  <si>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</si>
  <si>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</si>
  <si>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</si>
  <si>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</si>
  <si>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</si>
  <si>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</si>
  <si>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</si>
  <si>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</si>
  <si>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</si>
  <si>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</si>
  <si>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</si>
  <si>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</si>
  <si>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</si>
  <si>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</si>
  <si>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</si>
  <si>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</si>
  <si>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</si>
  <si>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</si>
  <si>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</si>
  <si>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</si>
  <si>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</si>
  <si>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</si>
  <si>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</si>
  <si>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</si>
  <si>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</si>
  <si>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</si>
  <si>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</si>
  <si>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</si>
  <si>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</si>
  <si>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</si>
  <si>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</si>
  <si>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</si>
  <si>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</si>
  <si>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</si>
  <si>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</si>
  <si>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</si>
  <si>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</si>
  <si>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</si>
  <si>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</si>
  <si>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</si>
  <si>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</si>
  <si>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</si>
  <si>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</si>
  <si>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</si>
  <si>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</si>
  <si>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</si>
  <si>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</si>
  <si>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</si>
  <si>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</si>
  <si>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</si>
  <si>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</si>
  <si>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</si>
  <si>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</si>
  <si>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</si>
  <si>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</si>
  <si>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</si>
  <si>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</si>
  <si>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</si>
  <si>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</si>
  <si>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</si>
  <si>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</si>
  <si>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</si>
  <si>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</si>
  <si>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</si>
  <si>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</si>
  <si>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</si>
  <si>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</si>
  <si>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</si>
  <si>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</si>
  <si>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</si>
  <si>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</si>
  <si>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</si>
  <si>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</si>
  <si>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</si>
  <si>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</si>
  <si>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</si>
  <si>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</si>
  <si>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</si>
  <si>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</si>
  <si>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</si>
  <si>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</si>
  <si>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</si>
  <si>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</si>
  <si>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</si>
  <si>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</si>
  <si>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</si>
  <si>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</si>
  <si>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</si>
  <si>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</si>
  <si>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</si>
  <si>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</si>
  <si>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</si>
  <si>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</si>
  <si>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</si>
  <si>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</si>
  <si>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</si>
  <si>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</si>
  <si>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</si>
  <si>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</si>
  <si>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</si>
  <si>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</si>
  <si>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</si>
  <si>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</si>
  <si>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</si>
  <si>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</si>
  <si>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</si>
  <si>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</si>
  <si>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</si>
  <si>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</si>
  <si>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</si>
  <si>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</si>
  <si>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</si>
  <si>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</si>
  <si>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</si>
  <si>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</si>
  <si>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</si>
  <si>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</si>
  <si>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</si>
  <si>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</si>
  <si>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</si>
  <si>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</si>
  <si>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</si>
  <si>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</si>
  <si>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</si>
  <si>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</si>
  <si>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</si>
  <si>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</si>
  <si>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</si>
  <si>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</si>
  <si>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</si>
  <si>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</si>
  <si>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</si>
  <si>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</si>
  <si>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</si>
  <si>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</si>
  <si>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</si>
  <si>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</si>
  <si>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</si>
  <si>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</si>
  <si>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</si>
  <si>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</si>
  <si>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</si>
  <si>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</si>
  <si>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</si>
  <si>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</si>
  <si>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</si>
  <si>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</si>
  <si>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</si>
  <si>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</si>
  <si>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</si>
  <si>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</si>
  <si>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</si>
  <si>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</si>
  <si>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</si>
  <si>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</si>
  <si>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</si>
  <si>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</si>
  <si>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</si>
  <si>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</si>
  <si>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</si>
  <si>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</si>
  <si>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</si>
  <si>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</si>
  <si>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</si>
  <si>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</si>
  <si>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</si>
  <si>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</si>
  <si>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</si>
  <si>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</si>
  <si>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</si>
  <si>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</si>
  <si>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</si>
  <si>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</si>
  <si>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</si>
  <si>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</si>
  <si>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</si>
  <si>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</si>
  <si>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</si>
  <si>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</si>
  <si>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</si>
  <si>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</si>
  <si>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</si>
  <si>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</si>
  <si>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</si>
  <si>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</si>
  <si>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</si>
  <si>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</si>
  <si>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</si>
  <si>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</si>
  <si>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</si>
  <si>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</si>
  <si>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</si>
  <si>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</si>
  <si>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</si>
  <si>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</si>
  <si>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</si>
  <si>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</si>
  <si>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</si>
  <si>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</si>
  <si>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</si>
  <si>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</si>
  <si>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</si>
  <si>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</si>
  <si>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</si>
  <si>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</si>
  <si>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</si>
  <si>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</si>
  <si>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</si>
  <si>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</si>
  <si>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</si>
  <si>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</si>
  <si>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</si>
  <si>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</si>
  <si>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</si>
  <si>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</si>
  <si>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</si>
  <si>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</si>
  <si>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</si>
  <si>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</si>
  <si>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</si>
  <si>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</si>
  <si>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</si>
  <si>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</si>
  <si>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</si>
  <si>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</si>
  <si>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</si>
  <si>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</si>
  <si>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</si>
  <si>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</si>
  <si>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</si>
  <si>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</si>
  <si>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</si>
  <si>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</si>
  <si>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</si>
  <si>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</si>
  <si>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</si>
  <si>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</si>
  <si>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</si>
  <si>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</si>
  <si>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</si>
  <si>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</si>
  <si>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</si>
  <si>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</si>
  <si>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</si>
  <si>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</si>
  <si>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</si>
  <si>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</si>
  <si>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</si>
  <si>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</si>
  <si>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</si>
  <si>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</si>
  <si>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</si>
  <si>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</si>
  <si>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</si>
  <si>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</si>
  <si>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</si>
  <si>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</si>
  <si>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</si>
  <si>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</si>
  <si>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</si>
  <si>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</si>
  <si>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</si>
  <si>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</si>
  <si>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</si>
  <si>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</si>
  <si>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</si>
  <si>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</si>
  <si>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</si>
  <si>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</si>
  <si>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</si>
  <si>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</si>
  <si>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</si>
  <si>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</si>
  <si>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</si>
  <si>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</si>
  <si>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</si>
  <si>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</si>
  <si>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</si>
  <si>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</si>
  <si>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</si>
  <si>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</si>
  <si>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</si>
  <si>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</si>
  <si>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</si>
  <si>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</si>
  <si>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</si>
  <si>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</si>
  <si>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</si>
  <si>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</si>
  <si>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</si>
  <si>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</si>
  <si>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</si>
  <si>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</si>
  <si>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</si>
  <si>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</si>
  <si>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</si>
  <si>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</si>
  <si>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</si>
  <si>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</si>
  <si>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</si>
  <si>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</si>
  <si>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</si>
  <si>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</si>
  <si>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</si>
  <si>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</si>
  <si>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</si>
  <si>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</si>
  <si>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</si>
  <si>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</si>
  <si>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</si>
  <si>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</si>
  <si>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</si>
  <si>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</si>
  <si>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</si>
  <si>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</si>
  <si>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</si>
  <si>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</si>
  <si>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</si>
  <si>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</si>
  <si>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</si>
  <si>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</si>
  <si>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</si>
  <si>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</si>
  <si>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</si>
  <si>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</si>
  <si>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</si>
  <si>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</si>
  <si>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</si>
  <si>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</si>
  <si>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</si>
  <si>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</si>
  <si>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</si>
  <si>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</si>
  <si>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</si>
  <si>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</si>
  <si>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</si>
  <si>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</si>
  <si>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</si>
  <si>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</si>
  <si>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</si>
  <si>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</si>
  <si>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</si>
  <si>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</si>
  <si>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</si>
  <si>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</si>
  <si>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</si>
  <si>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</si>
  <si>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</si>
  <si>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</si>
  <si>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</si>
  <si>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</si>
  <si>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</si>
  <si>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</si>
  <si>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</si>
  <si>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</si>
  <si>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</si>
  <si>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</si>
  <si>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</si>
  <si>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</si>
  <si>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</si>
  <si>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</si>
  <si>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</si>
  <si>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</si>
  <si>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</si>
  <si>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</si>
  <si>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</si>
  <si>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</si>
  <si>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</si>
  <si>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</si>
  <si>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</si>
  <si>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</si>
  <si>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</si>
  <si>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</si>
  <si>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</si>
  <si>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</si>
  <si>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</si>
  <si>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</si>
  <si>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</si>
  <si>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</si>
  <si>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</si>
  <si>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</si>
  <si>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</si>
  <si>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</si>
  <si>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</si>
  <si>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</si>
  <si>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</si>
  <si>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</si>
  <si>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</si>
  <si>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</si>
  <si>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</si>
  <si>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</si>
  <si>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</si>
  <si>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</si>
  <si>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</si>
  <si>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</si>
  <si>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</si>
  <si>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</si>
  <si>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</si>
  <si>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</si>
  <si>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</si>
  <si>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</si>
  <si>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</si>
  <si>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</si>
  <si>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</si>
  <si>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</si>
  <si>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</si>
  <si>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</si>
  <si>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</si>
  <si>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</si>
  <si>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</si>
  <si>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</si>
  <si>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</si>
  <si>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</si>
  <si>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</si>
  <si>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</si>
  <si>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</si>
  <si>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</si>
  <si>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</si>
  <si>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</si>
  <si>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</si>
  <si>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</si>
  <si>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</si>
  <si>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</si>
  <si>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</si>
  <si>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</si>
  <si>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</si>
  <si>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</si>
  <si>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</si>
  <si>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</si>
  <si>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</si>
  <si>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</si>
  <si>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</si>
  <si>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</si>
  <si>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</si>
  <si>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</si>
  <si>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</si>
  <si>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</si>
  <si>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</si>
  <si>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</si>
  <si>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</si>
  <si>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</si>
  <si>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</si>
  <si>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</si>
  <si>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</si>
  <si>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</si>
  <si>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</si>
  <si>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</si>
  <si>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</si>
  <si>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</si>
  <si>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</si>
  <si>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</si>
  <si>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</si>
  <si>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</si>
  <si>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</si>
  <si>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</si>
  <si>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</si>
  <si>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</si>
  <si>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</si>
  <si>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</si>
  <si>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</si>
  <si>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</si>
  <si>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</si>
  <si>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</si>
  <si>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</si>
  <si>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</si>
  <si>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</si>
  <si>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</si>
  <si>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</si>
  <si>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</si>
  <si>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</si>
  <si>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</si>
  <si>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</si>
  <si>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</si>
  <si>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</si>
  <si>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</si>
  <si>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</si>
  <si>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</si>
  <si>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</si>
  <si>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</si>
  <si>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</si>
  <si>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</si>
  <si>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</si>
  <si>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</si>
  <si>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</si>
  <si>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</si>
  <si>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</si>
  <si>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</si>
  <si>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</si>
  <si>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</si>
  <si>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</si>
  <si>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</si>
  <si>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</si>
  <si>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</si>
  <si>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</si>
  <si>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</si>
  <si>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</si>
  <si>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</si>
  <si>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</si>
  <si>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</si>
  <si>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</si>
  <si>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</si>
  <si>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</si>
  <si>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</si>
  <si>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</si>
  <si>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</si>
  <si>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</si>
  <si>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</si>
  <si>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</si>
  <si>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</si>
  <si>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</si>
  <si>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</si>
  <si>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</si>
  <si>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</si>
  <si>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</si>
  <si>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</si>
  <si>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</si>
  <si>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</si>
  <si>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</si>
  <si>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</si>
  <si>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</si>
  <si>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</si>
  <si>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</si>
  <si>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</si>
  <si>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</si>
  <si>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</si>
  <si>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</si>
  <si>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</si>
  <si>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</si>
  <si>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</si>
  <si>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</si>
  <si>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</si>
  <si>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</si>
  <si>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</si>
  <si>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</si>
  <si>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</si>
  <si>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</si>
  <si>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</si>
  <si>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</si>
  <si>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</si>
  <si>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</si>
  <si>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</si>
  <si>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</si>
  <si>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</si>
  <si>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</si>
  <si>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</si>
  <si>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</si>
  <si>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</si>
  <si>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</si>
  <si>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</si>
  <si>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</si>
  <si>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</si>
  <si>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</si>
  <si>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</si>
  <si>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</si>
  <si>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</si>
  <si>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</si>
  <si>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</si>
  <si>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</si>
  <si>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</si>
  <si>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</si>
  <si>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</si>
  <si>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</si>
  <si>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</si>
  <si>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</si>
  <si>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</si>
  <si>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</si>
  <si>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</si>
  <si>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</si>
  <si>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</si>
  <si>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</si>
  <si>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</si>
  <si>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</si>
  <si>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</si>
  <si>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</si>
  <si>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</si>
  <si>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</si>
  <si>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</si>
  <si>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</si>
  <si>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</si>
  <si>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</si>
  <si>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</si>
  <si>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</si>
  <si>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</si>
  <si>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</si>
  <si>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</si>
  <si>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</si>
  <si>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</si>
  <si>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</si>
  <si>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</si>
  <si>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</si>
  <si>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</si>
  <si>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</si>
  <si>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</si>
  <si>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</si>
  <si>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</si>
  <si>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</si>
  <si>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</si>
  <si>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</si>
  <si>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</si>
  <si>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</si>
  <si>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</si>
  <si>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</si>
  <si>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</si>
  <si>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</si>
  <si>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</si>
  <si>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 xml:space="preserve">Hollis Brookline Cooperative </t>
  </si>
  <si>
    <t>8/00</t>
  </si>
  <si>
    <t>8/04</t>
  </si>
  <si>
    <t>8/24</t>
  </si>
  <si>
    <t>8/15</t>
  </si>
  <si>
    <t>08/96</t>
  </si>
  <si>
    <t>08/16</t>
  </si>
  <si>
    <t>LGC Contribution Refund $141,544.43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</si>
</sst>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38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01" zoomScaleNormal="101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260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133240.25+500</f>
        <v>133740.25</v>
      </c>
      <c r="G9" s="18">
        <f>39646.75+74</f>
        <v>39720.75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7811.46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809212.68</v>
      </c>
      <c r="G12" s="18">
        <v>-17847.32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720369.18+5076</f>
        <v>725445.18</v>
      </c>
      <c r="G13" s="18">
        <v>6554</v>
      </c>
      <c r="H13" s="18">
        <v>186964.85</v>
      </c>
      <c r="I13" s="18"/>
      <c r="J13" s="67">
        <f>SUM(I442)</f>
        <v>70600.539999999994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1915.87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8033.21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35606.230000000003</v>
      </c>
      <c r="G17" s="18"/>
      <c r="H17" s="18">
        <v>1730.67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-1115.78</v>
      </c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1712615.8900000001</v>
      </c>
      <c r="G19" s="41">
        <f>SUM(G9:G18)</f>
        <v>36460.639999999999</v>
      </c>
      <c r="H19" s="41">
        <f>SUM(H9:H18)</f>
        <v>188695.52000000002</v>
      </c>
      <c r="I19" s="41">
        <f>SUM(I9:I18)</f>
        <v>0</v>
      </c>
      <c r="J19" s="41">
        <f>SUM(J9:J18)</f>
        <v>70600.539999999994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706696.21</v>
      </c>
      <c r="G22" s="18"/>
      <c r="H22" s="18">
        <v>183484.94</v>
      </c>
      <c r="I22" s="18"/>
      <c r="J22" s="67">
        <f>SUM(I448)</f>
        <v>23428.12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18057.919999999998</v>
      </c>
      <c r="G23" s="18"/>
      <c r="H23" s="18">
        <v>5210.58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189131.92</v>
      </c>
      <c r="G24" s="18">
        <v>528.6</v>
      </c>
      <c r="H24" s="18"/>
      <c r="I24" s="18"/>
      <c r="J24" s="67">
        <f>SUM(I450)</f>
        <v>2183.25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68280.289999999994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5205.82+3032.13</f>
        <v>8237.9500000000007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200</v>
      </c>
      <c r="G30" s="18">
        <v>17831.71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990604.29</v>
      </c>
      <c r="G32" s="41">
        <f>SUM(G22:G31)</f>
        <v>18360.309999999998</v>
      </c>
      <c r="H32" s="41">
        <f>SUM(H22:H31)</f>
        <v>188695.52</v>
      </c>
      <c r="I32" s="41">
        <f>SUM(I22:I31)</f>
        <v>0</v>
      </c>
      <c r="J32" s="41">
        <f>SUM(J22:J31)</f>
        <v>25611.37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8033.21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35606.230000000003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>
        <f>9337.13</f>
        <v>9337.1299999999992</v>
      </c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182539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141762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44989.17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62697</v>
      </c>
      <c r="G49" s="18">
        <v>729.99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386870.37+7461-100000+5076</f>
        <v>299407.37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722011.6</v>
      </c>
      <c r="G51" s="41">
        <f>SUM(G35:G50)</f>
        <v>18100.330000000002</v>
      </c>
      <c r="H51" s="41">
        <f>SUM(H35:H50)</f>
        <v>0</v>
      </c>
      <c r="I51" s="41">
        <f>SUM(I35:I50)</f>
        <v>0</v>
      </c>
      <c r="J51" s="41">
        <f>SUM(J35:J50)</f>
        <v>44989.17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1712615.8900000001</v>
      </c>
      <c r="G52" s="41">
        <f>G51+G32</f>
        <v>36460.639999999999</v>
      </c>
      <c r="H52" s="41">
        <f>H51+H32</f>
        <v>188695.52</v>
      </c>
      <c r="I52" s="41">
        <f>I51+I32</f>
        <v>0</v>
      </c>
      <c r="J52" s="41">
        <f>J51+J32</f>
        <v>70600.539999999994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6210015+7700543</f>
        <v>13910558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13910558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f>3743.4</f>
        <v>3743.4</v>
      </c>
      <c r="G96" s="18"/>
      <c r="H96" s="18"/>
      <c r="I96" s="18"/>
      <c r="J96" s="18">
        <v>2.66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275034.2+100045.17-4274.98</f>
        <v>370804.39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f>29014.94+11143.67+16320</f>
        <v>56478.61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2940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23967.32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141544.43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0.67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228674.43000000002</v>
      </c>
      <c r="G111" s="41">
        <f>SUM(G96:G110)</f>
        <v>370804.39</v>
      </c>
      <c r="H111" s="41">
        <f>SUM(H96:H110)</f>
        <v>0</v>
      </c>
      <c r="I111" s="41">
        <f>SUM(I96:I110)</f>
        <v>0</v>
      </c>
      <c r="J111" s="41">
        <f>SUM(J96:J110)</f>
        <v>2.66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14139232.43</v>
      </c>
      <c r="G112" s="41">
        <f>G60+G111</f>
        <v>370804.39</v>
      </c>
      <c r="H112" s="41">
        <f>H60+H79+H94+H111</f>
        <v>0</v>
      </c>
      <c r="I112" s="41">
        <f>I60+I111</f>
        <v>0</v>
      </c>
      <c r="J112" s="41">
        <f>J60+J111</f>
        <v>2.66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3044831.82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2222029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5266860.82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400514.32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474431.59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8958.7000000000007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3003.51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883904.61</v>
      </c>
      <c r="G136" s="41">
        <f>SUM(G123:G135)</f>
        <v>3003.51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6150765.4300000006</v>
      </c>
      <c r="G140" s="41">
        <f>G121+SUM(G136:G137)</f>
        <v>3003.51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>
        <v>11768.87</v>
      </c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11768.87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4401.26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9983.64+21487.35</f>
        <v>31470.989999999998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185886.67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158747.51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158747.51</v>
      </c>
      <c r="G162" s="41">
        <f>SUM(G150:G161)</f>
        <v>31470.989999999998</v>
      </c>
      <c r="H162" s="41">
        <f>SUM(H150:H161)</f>
        <v>190287.93000000002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158747.51</v>
      </c>
      <c r="G169" s="41">
        <f>G147+G162+SUM(G163:G168)</f>
        <v>43239.86</v>
      </c>
      <c r="H169" s="41">
        <f>H147+H162+SUM(H163:H168)</f>
        <v>190287.93000000002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90000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90000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5719.54</v>
      </c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5719.54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5719.54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90000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20454464.91</v>
      </c>
      <c r="G193" s="47">
        <f>G112+G140+G169+G192</f>
        <v>417047.76</v>
      </c>
      <c r="H193" s="47">
        <f>H112+H140+H169+H192</f>
        <v>190287.93000000002</v>
      </c>
      <c r="I193" s="47">
        <f>I112+I140+I169+I192</f>
        <v>0</v>
      </c>
      <c r="J193" s="47">
        <f>J112+J140+J192</f>
        <v>90002.66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75.34+1841664.95</f>
        <v>1841740.29</v>
      </c>
      <c r="G215" s="18">
        <v>731521.5</v>
      </c>
      <c r="H215" s="18">
        <f>3028.47+100</f>
        <v>3128.47</v>
      </c>
      <c r="I215" s="18">
        <f>77678.93+60.9+665</f>
        <v>78404.829999999987</v>
      </c>
      <c r="J215" s="18">
        <v>6858.31</v>
      </c>
      <c r="K215" s="18">
        <f>1588+390.52</f>
        <v>1978.52</v>
      </c>
      <c r="L215" s="19">
        <f>SUM(F215:K215)</f>
        <v>2663631.9200000004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9473.02+652124.83</f>
        <v>661597.85</v>
      </c>
      <c r="G216" s="18">
        <v>262780.28999999998</v>
      </c>
      <c r="H216" s="18">
        <f>162710.94+192390.26+3171.23+520</f>
        <v>358792.43</v>
      </c>
      <c r="I216" s="18">
        <v>1718.62</v>
      </c>
      <c r="J216" s="18"/>
      <c r="K216" s="18"/>
      <c r="L216" s="19">
        <f>SUM(F216:K216)</f>
        <v>1284889.19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59915</v>
      </c>
      <c r="G218" s="18">
        <v>23797.66</v>
      </c>
      <c r="H218" s="18">
        <f>10096</f>
        <v>10096</v>
      </c>
      <c r="I218" s="18">
        <v>2712.8</v>
      </c>
      <c r="J218" s="18"/>
      <c r="K218" s="18"/>
      <c r="L218" s="19">
        <f>SUM(F218:K218)</f>
        <v>96521.46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337898.09</v>
      </c>
      <c r="G220" s="18">
        <v>134209.87</v>
      </c>
      <c r="H220" s="18">
        <f>19111.69+5000.07+21936.66</f>
        <v>46048.42</v>
      </c>
      <c r="I220" s="18">
        <v>2824.41</v>
      </c>
      <c r="J220" s="18">
        <v>1328.6</v>
      </c>
      <c r="K220" s="18"/>
      <c r="L220" s="19">
        <f t="shared" ref="L220:L226" si="2">SUM(F220:K220)</f>
        <v>522309.38999999996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500+45791+22680</f>
        <v>68971</v>
      </c>
      <c r="G221" s="18">
        <f>27394.62+38879.86+785+1104.13+141.95</f>
        <v>68305.56</v>
      </c>
      <c r="H221" s="18">
        <v>621</v>
      </c>
      <c r="I221" s="18">
        <v>8468.75</v>
      </c>
      <c r="J221" s="18">
        <v>43420.38</v>
      </c>
      <c r="K221" s="18"/>
      <c r="L221" s="19">
        <f t="shared" si="2"/>
        <v>189786.69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>
        <f>262643.67-1269</f>
        <v>261374.66999999998</v>
      </c>
      <c r="I222" s="18">
        <v>1971.24</v>
      </c>
      <c r="J222" s="18"/>
      <c r="K222" s="18"/>
      <c r="L222" s="19">
        <f t="shared" si="2"/>
        <v>263345.90999999997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378.9+279767.84</f>
        <v>280146.74000000005</v>
      </c>
      <c r="G223" s="18">
        <v>111271.59</v>
      </c>
      <c r="H223" s="18">
        <f>11821.7+19347.95+9211.81</f>
        <v>40381.46</v>
      </c>
      <c r="I223" s="18">
        <f>23094.73+1362.91</f>
        <v>24457.64</v>
      </c>
      <c r="J223" s="18"/>
      <c r="K223" s="18">
        <v>1767.99</v>
      </c>
      <c r="L223" s="19">
        <f t="shared" si="2"/>
        <v>458025.4200000001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198317.95</v>
      </c>
      <c r="G225" s="18">
        <v>78769.98</v>
      </c>
      <c r="H225" s="18">
        <f>18783.11+113351.81+116.5</f>
        <v>132251.41999999998</v>
      </c>
      <c r="I225" s="18">
        <v>132061.92000000001</v>
      </c>
      <c r="J225" s="18">
        <v>535</v>
      </c>
      <c r="K225" s="18"/>
      <c r="L225" s="19">
        <f t="shared" si="2"/>
        <v>541936.27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249584.64+7846.63</f>
        <v>257431.27000000002</v>
      </c>
      <c r="I226" s="18">
        <v>35615.440000000002</v>
      </c>
      <c r="J226" s="18"/>
      <c r="K226" s="18"/>
      <c r="L226" s="19">
        <f t="shared" si="2"/>
        <v>293046.71000000002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3448586.9200000004</v>
      </c>
      <c r="G229" s="41">
        <f>SUM(G215:G228)</f>
        <v>1410656.4500000002</v>
      </c>
      <c r="H229" s="41">
        <f>SUM(H215:H228)</f>
        <v>1110125.1399999999</v>
      </c>
      <c r="I229" s="41">
        <f>SUM(I215:I228)</f>
        <v>288235.65000000002</v>
      </c>
      <c r="J229" s="41">
        <f>SUM(J215:J228)</f>
        <v>52142.289999999994</v>
      </c>
      <c r="K229" s="41">
        <f t="shared" si="3"/>
        <v>3746.51</v>
      </c>
      <c r="L229" s="41">
        <f t="shared" si="3"/>
        <v>6313492.96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1933.94+3218925.94</f>
        <v>3220859.88</v>
      </c>
      <c r="G233" s="18">
        <v>1270674.6599999999</v>
      </c>
      <c r="H233" s="18">
        <f>638+6926.72</f>
        <v>7564.72</v>
      </c>
      <c r="I233" s="18">
        <v>115591.62</v>
      </c>
      <c r="J233" s="18">
        <f>268+12679.5</f>
        <v>12947.5</v>
      </c>
      <c r="K233" s="18">
        <f>725.26+185</f>
        <v>910.26</v>
      </c>
      <c r="L233" s="19">
        <f>SUM(F233:K233)</f>
        <v>4628548.6399999997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9473.02+1008279.9</f>
        <v>1017752.92</v>
      </c>
      <c r="G234" s="18">
        <v>401517.88</v>
      </c>
      <c r="H234" s="18">
        <f>5889.42+1006088.97+667.19</f>
        <v>1012645.58</v>
      </c>
      <c r="I234" s="18">
        <v>12602.4</v>
      </c>
      <c r="J234" s="18">
        <v>8839.14</v>
      </c>
      <c r="K234" s="18"/>
      <c r="L234" s="19">
        <f>SUM(F234:K234)</f>
        <v>2453357.92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27356</v>
      </c>
      <c r="G235" s="18">
        <v>10792.33</v>
      </c>
      <c r="H235" s="18">
        <f>141021.8-118636.35</f>
        <v>22385.449999999983</v>
      </c>
      <c r="I235" s="18">
        <v>56.12</v>
      </c>
      <c r="J235" s="18"/>
      <c r="K235" s="18"/>
      <c r="L235" s="19">
        <f>SUM(F235:K235)</f>
        <v>60589.899999999987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323378.53000000003</v>
      </c>
      <c r="G236" s="18">
        <v>127577.39</v>
      </c>
      <c r="H236" s="18">
        <f>106082.59-1668.04-59375.41</f>
        <v>45039.14</v>
      </c>
      <c r="I236" s="18">
        <v>17255.509999999998</v>
      </c>
      <c r="J236" s="18">
        <v>8894.4</v>
      </c>
      <c r="K236" s="18">
        <v>25249.439999999999</v>
      </c>
      <c r="L236" s="19">
        <f>SUM(F236:K236)</f>
        <v>547394.41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38865+710975.28</f>
        <v>749840.28</v>
      </c>
      <c r="G238" s="18">
        <v>295822.57</v>
      </c>
      <c r="H238" s="18">
        <f>9285.85+31366.35+40739.51</f>
        <v>81391.709999999992</v>
      </c>
      <c r="I238" s="18">
        <v>8240.01</v>
      </c>
      <c r="J238" s="18"/>
      <c r="K238" s="18">
        <v>1030</v>
      </c>
      <c r="L238" s="19">
        <f t="shared" ref="L238:L244" si="4">SUM(F238:K238)</f>
        <v>1136324.57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1000+158363.94+40320</f>
        <v>199683.94</v>
      </c>
      <c r="G239" s="18">
        <f>78778.13+98377.79+2039</f>
        <v>179194.91999999998</v>
      </c>
      <c r="H239" s="18">
        <v>5956.02</v>
      </c>
      <c r="I239" s="18">
        <v>25317.86</v>
      </c>
      <c r="J239" s="18">
        <v>34664.589999999997</v>
      </c>
      <c r="K239" s="18">
        <v>178</v>
      </c>
      <c r="L239" s="19">
        <f t="shared" si="4"/>
        <v>444995.32999999996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>
        <f>487766.81-3807</f>
        <v>483959.81</v>
      </c>
      <c r="I240" s="18">
        <v>3660.88</v>
      </c>
      <c r="J240" s="18"/>
      <c r="K240" s="18"/>
      <c r="L240" s="19">
        <f t="shared" si="4"/>
        <v>487620.69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387390.5+673.61</f>
        <v>388064.11</v>
      </c>
      <c r="G241" s="18">
        <v>153096.76999999999</v>
      </c>
      <c r="H241" s="18">
        <f>17107.66+59179.75</f>
        <v>76287.41</v>
      </c>
      <c r="I241" s="18">
        <f>42890.22+1118.11</f>
        <v>44008.33</v>
      </c>
      <c r="J241" s="18"/>
      <c r="K241" s="18">
        <v>20345.810000000001</v>
      </c>
      <c r="L241" s="19">
        <f t="shared" si="4"/>
        <v>681802.43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245475.15</v>
      </c>
      <c r="G243" s="18">
        <v>96843.41</v>
      </c>
      <c r="H243" s="18">
        <f>177593.13+33577.73</f>
        <v>211170.86000000002</v>
      </c>
      <c r="I243" s="18">
        <v>233523.94</v>
      </c>
      <c r="J243" s="18">
        <v>2317.5100000000002</v>
      </c>
      <c r="K243" s="18"/>
      <c r="L243" s="19">
        <f t="shared" si="4"/>
        <v>789330.87000000011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118636.35+378386.52+1668.04+59375.41</f>
        <v>558066.31999999995</v>
      </c>
      <c r="I244" s="18">
        <v>38812.199999999997</v>
      </c>
      <c r="J244" s="18"/>
      <c r="K244" s="18"/>
      <c r="L244" s="19">
        <f t="shared" si="4"/>
        <v>596878.5199999999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6172410.8100000015</v>
      </c>
      <c r="G247" s="41">
        <f t="shared" si="5"/>
        <v>2535519.9300000002</v>
      </c>
      <c r="H247" s="41">
        <f t="shared" si="5"/>
        <v>2504467.02</v>
      </c>
      <c r="I247" s="41">
        <f t="shared" si="5"/>
        <v>499068.87000000005</v>
      </c>
      <c r="J247" s="41">
        <f t="shared" si="5"/>
        <v>67663.14</v>
      </c>
      <c r="K247" s="41">
        <f t="shared" si="5"/>
        <v>47713.509999999995</v>
      </c>
      <c r="L247" s="41">
        <f t="shared" si="5"/>
        <v>11826843.279999997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>
        <f>28705.81+71180.19</f>
        <v>99886</v>
      </c>
      <c r="K255" s="18"/>
      <c r="L255" s="19">
        <f t="shared" si="6"/>
        <v>99886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99886</v>
      </c>
      <c r="K256" s="41">
        <f t="shared" si="7"/>
        <v>0</v>
      </c>
      <c r="L256" s="41">
        <f>SUM(F256:K256)</f>
        <v>99886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9620997.7300000023</v>
      </c>
      <c r="G257" s="41">
        <f t="shared" si="8"/>
        <v>3946176.3800000004</v>
      </c>
      <c r="H257" s="41">
        <f t="shared" si="8"/>
        <v>3614592.16</v>
      </c>
      <c r="I257" s="41">
        <f t="shared" si="8"/>
        <v>787304.52</v>
      </c>
      <c r="J257" s="41">
        <f t="shared" si="8"/>
        <v>219691.43</v>
      </c>
      <c r="K257" s="41">
        <f t="shared" si="8"/>
        <v>51460.02</v>
      </c>
      <c r="L257" s="41">
        <f t="shared" si="8"/>
        <v>18240222.239999998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948399.21</v>
      </c>
      <c r="L260" s="19">
        <f>SUM(F260:K260)</f>
        <v>948399.21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854682.29</v>
      </c>
      <c r="L261" s="19">
        <f>SUM(F261:K261)</f>
        <v>854682.29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90000</v>
      </c>
      <c r="L266" s="19">
        <f t="shared" si="9"/>
        <v>90000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1893081.5</v>
      </c>
      <c r="L270" s="41">
        <f t="shared" si="9"/>
        <v>1893081.5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9620997.7300000023</v>
      </c>
      <c r="G271" s="42">
        <f t="shared" si="11"/>
        <v>3946176.3800000004</v>
      </c>
      <c r="H271" s="42">
        <f t="shared" si="11"/>
        <v>3614592.16</v>
      </c>
      <c r="I271" s="42">
        <f t="shared" si="11"/>
        <v>787304.52</v>
      </c>
      <c r="J271" s="42">
        <f t="shared" si="11"/>
        <v>219691.43</v>
      </c>
      <c r="K271" s="42">
        <f t="shared" si="11"/>
        <v>1944541.52</v>
      </c>
      <c r="L271" s="42">
        <f t="shared" si="11"/>
        <v>20133303.739999998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850</v>
      </c>
      <c r="G295" s="18"/>
      <c r="H295" s="18">
        <v>279.85000000000002</v>
      </c>
      <c r="I295" s="18">
        <v>366.58</v>
      </c>
      <c r="J295" s="18"/>
      <c r="K295" s="18"/>
      <c r="L295" s="19">
        <f>SUM(F295:K295)</f>
        <v>1496.4299999999998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57155.67</v>
      </c>
      <c r="G296" s="18">
        <v>4372.41</v>
      </c>
      <c r="H296" s="18">
        <v>71.790000000000006</v>
      </c>
      <c r="I296" s="18"/>
      <c r="J296" s="18"/>
      <c r="K296" s="18">
        <v>1601.6</v>
      </c>
      <c r="L296" s="19">
        <f>SUM(F296:K296)</f>
        <v>63201.47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58005.67</v>
      </c>
      <c r="G309" s="42">
        <f t="shared" si="15"/>
        <v>4372.41</v>
      </c>
      <c r="H309" s="42">
        <f t="shared" si="15"/>
        <v>351.64000000000004</v>
      </c>
      <c r="I309" s="42">
        <f t="shared" si="15"/>
        <v>366.58</v>
      </c>
      <c r="J309" s="42">
        <f t="shared" si="15"/>
        <v>0</v>
      </c>
      <c r="K309" s="42">
        <f t="shared" si="15"/>
        <v>1601.6</v>
      </c>
      <c r="L309" s="41">
        <f t="shared" si="15"/>
        <v>64697.9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1650</v>
      </c>
      <c r="G314" s="18"/>
      <c r="H314" s="18">
        <v>543.23</v>
      </c>
      <c r="I314" s="18">
        <v>711.6</v>
      </c>
      <c r="J314" s="18"/>
      <c r="K314" s="18"/>
      <c r="L314" s="19">
        <f>SUM(F314:K314)</f>
        <v>2904.83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110949.24</v>
      </c>
      <c r="G315" s="18">
        <v>8487.6200000000008</v>
      </c>
      <c r="H315" s="18">
        <v>139.36000000000001</v>
      </c>
      <c r="I315" s="18"/>
      <c r="J315" s="18"/>
      <c r="K315" s="18">
        <v>3108.98</v>
      </c>
      <c r="L315" s="19">
        <f>SUM(F315:K315)</f>
        <v>122685.2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112599.24</v>
      </c>
      <c r="G328" s="42">
        <f t="shared" si="17"/>
        <v>8487.6200000000008</v>
      </c>
      <c r="H328" s="42">
        <f t="shared" si="17"/>
        <v>682.59</v>
      </c>
      <c r="I328" s="42">
        <f t="shared" si="17"/>
        <v>711.6</v>
      </c>
      <c r="J328" s="42">
        <f t="shared" si="17"/>
        <v>0</v>
      </c>
      <c r="K328" s="42">
        <f t="shared" si="17"/>
        <v>3108.98</v>
      </c>
      <c r="L328" s="41">
        <f t="shared" si="17"/>
        <v>125590.03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170604.91</v>
      </c>
      <c r="G338" s="41">
        <f t="shared" si="20"/>
        <v>12860.03</v>
      </c>
      <c r="H338" s="41">
        <f t="shared" si="20"/>
        <v>1034.23</v>
      </c>
      <c r="I338" s="41">
        <f t="shared" si="20"/>
        <v>1078.18</v>
      </c>
      <c r="J338" s="41">
        <f t="shared" si="20"/>
        <v>0</v>
      </c>
      <c r="K338" s="41">
        <f t="shared" si="20"/>
        <v>4710.58</v>
      </c>
      <c r="L338" s="41">
        <f t="shared" si="20"/>
        <v>190287.93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170604.91</v>
      </c>
      <c r="G352" s="41">
        <f>G338</f>
        <v>12860.03</v>
      </c>
      <c r="H352" s="41">
        <f>H338</f>
        <v>1034.23</v>
      </c>
      <c r="I352" s="41">
        <f>I338</f>
        <v>1078.18</v>
      </c>
      <c r="J352" s="41">
        <f>J338</f>
        <v>0</v>
      </c>
      <c r="K352" s="47">
        <f>K338+K351</f>
        <v>4710.58</v>
      </c>
      <c r="L352" s="41">
        <f>L338+L351</f>
        <v>190287.93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8192.94+64810.43</f>
        <v>73003.37</v>
      </c>
      <c r="G359" s="18">
        <v>20835.599999999999</v>
      </c>
      <c r="H359" s="18">
        <f>973.68</f>
        <v>973.68</v>
      </c>
      <c r="I359" s="18">
        <f>4601.31+2401+55628.55+28.43+1666.81</f>
        <v>64326.1</v>
      </c>
      <c r="J359" s="18"/>
      <c r="K359" s="18"/>
      <c r="L359" s="19">
        <f>SUM(F359:K359)</f>
        <v>159138.75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8192.94+96227.69</f>
        <v>104420.63</v>
      </c>
      <c r="G360" s="18">
        <v>29982.93</v>
      </c>
      <c r="H360" s="18">
        <f>1907.75+225.29</f>
        <v>2133.04</v>
      </c>
      <c r="I360" s="18">
        <f>16042.15+16602.28+145199.27+1666.8</f>
        <v>179510.49999999997</v>
      </c>
      <c r="J360" s="18">
        <v>32297.74</v>
      </c>
      <c r="K360" s="18"/>
      <c r="L360" s="19">
        <f>SUM(F360:K360)</f>
        <v>348344.83999999997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177424</v>
      </c>
      <c r="G362" s="47">
        <f t="shared" si="22"/>
        <v>50818.53</v>
      </c>
      <c r="H362" s="47">
        <f t="shared" si="22"/>
        <v>3106.72</v>
      </c>
      <c r="I362" s="47">
        <f t="shared" si="22"/>
        <v>243836.59999999998</v>
      </c>
      <c r="J362" s="47">
        <f t="shared" si="22"/>
        <v>32297.74</v>
      </c>
      <c r="K362" s="47">
        <f t="shared" si="22"/>
        <v>0</v>
      </c>
      <c r="L362" s="47">
        <f t="shared" si="22"/>
        <v>507483.58999999997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217430.1</v>
      </c>
      <c r="G367" s="18"/>
      <c r="H367" s="18"/>
      <c r="I367" s="56">
        <f>SUM(F367:H367)</f>
        <v>217430.1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26406.5</v>
      </c>
      <c r="G368" s="63"/>
      <c r="H368" s="63"/>
      <c r="I368" s="56">
        <f>SUM(F368:H368)</f>
        <v>26406.5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243836.6</v>
      </c>
      <c r="G369" s="47">
        <f>SUM(G367:G368)</f>
        <v>0</v>
      </c>
      <c r="H369" s="47">
        <f>SUM(H367:H368)</f>
        <v>0</v>
      </c>
      <c r="I369" s="47">
        <f>SUM(I367:I368)</f>
        <v>243836.6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20000</v>
      </c>
      <c r="H396" s="18"/>
      <c r="I396" s="18"/>
      <c r="J396" s="24" t="s">
        <v>289</v>
      </c>
      <c r="K396" s="24" t="s">
        <v>289</v>
      </c>
      <c r="L396" s="56">
        <f t="shared" si="26"/>
        <v>20000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70000</v>
      </c>
      <c r="H400" s="18">
        <v>2.66</v>
      </c>
      <c r="I400" s="18"/>
      <c r="J400" s="24" t="s">
        <v>289</v>
      </c>
      <c r="K400" s="24" t="s">
        <v>289</v>
      </c>
      <c r="L400" s="56">
        <f t="shared" si="26"/>
        <v>70002.66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90000</v>
      </c>
      <c r="H401" s="47">
        <f>SUM(H395:H400)</f>
        <v>2.66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90002.66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90000</v>
      </c>
      <c r="H408" s="47">
        <f>H393+H401+H407</f>
        <v>2.66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90002.66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>
        <v>29638.880000000001</v>
      </c>
      <c r="G426" s="18"/>
      <c r="H426" s="18">
        <f>545+9402.47</f>
        <v>9947.4699999999993</v>
      </c>
      <c r="I426" s="18">
        <f>10324.65+121</f>
        <v>10445.65</v>
      </c>
      <c r="J426" s="18"/>
      <c r="K426" s="18"/>
      <c r="L426" s="56">
        <f t="shared" si="29"/>
        <v>50032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29638.880000000001</v>
      </c>
      <c r="G427" s="47">
        <f t="shared" si="30"/>
        <v>0</v>
      </c>
      <c r="H427" s="47">
        <f t="shared" si="30"/>
        <v>9947.4699999999993</v>
      </c>
      <c r="I427" s="47">
        <f t="shared" si="30"/>
        <v>10445.65</v>
      </c>
      <c r="J427" s="47">
        <f t="shared" si="30"/>
        <v>0</v>
      </c>
      <c r="K427" s="47">
        <f t="shared" si="30"/>
        <v>0</v>
      </c>
      <c r="L427" s="47">
        <f t="shared" si="30"/>
        <v>50032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29638.880000000001</v>
      </c>
      <c r="G434" s="47">
        <f t="shared" si="32"/>
        <v>0</v>
      </c>
      <c r="H434" s="47">
        <f t="shared" si="32"/>
        <v>9947.4699999999993</v>
      </c>
      <c r="I434" s="47">
        <f t="shared" si="32"/>
        <v>10445.65</v>
      </c>
      <c r="J434" s="47">
        <f t="shared" si="32"/>
        <v>0</v>
      </c>
      <c r="K434" s="47">
        <f t="shared" si="32"/>
        <v>0</v>
      </c>
      <c r="L434" s="47">
        <f t="shared" si="32"/>
        <v>50032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v>70600.539999999994</v>
      </c>
      <c r="H442" s="18"/>
      <c r="I442" s="56">
        <f t="shared" si="33"/>
        <v>70600.539999999994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70600.539999999994</v>
      </c>
      <c r="H446" s="13">
        <f>SUM(H439:H445)</f>
        <v>0</v>
      </c>
      <c r="I446" s="13">
        <f>SUM(I439:I445)</f>
        <v>70600.539999999994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v>23428.12</v>
      </c>
      <c r="H448" s="18"/>
      <c r="I448" s="56">
        <f>SUM(F448:H448)</f>
        <v>23428.12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>
        <v>2183.25</v>
      </c>
      <c r="H450" s="18"/>
      <c r="I450" s="56">
        <f>SUM(F450:H450)</f>
        <v>2183.25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25611.37</v>
      </c>
      <c r="H452" s="72">
        <f>SUM(H448:H451)</f>
        <v>0</v>
      </c>
      <c r="I452" s="72">
        <f>SUM(I448:I451)</f>
        <v>25611.37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44989.17</v>
      </c>
      <c r="H459" s="18"/>
      <c r="I459" s="56">
        <f t="shared" si="34"/>
        <v>44989.17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44989.17</v>
      </c>
      <c r="H460" s="83">
        <f>SUM(H454:H459)</f>
        <v>0</v>
      </c>
      <c r="I460" s="83">
        <f>SUM(I454:I459)</f>
        <v>44989.17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70600.539999999994</v>
      </c>
      <c r="H461" s="42">
        <f>H452+H460</f>
        <v>0</v>
      </c>
      <c r="I461" s="42">
        <f>I452+I460</f>
        <v>70600.539999999994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400850.43</v>
      </c>
      <c r="G465" s="18">
        <v>108536.16</v>
      </c>
      <c r="H465" s="18">
        <v>0</v>
      </c>
      <c r="I465" s="18">
        <v>0</v>
      </c>
      <c r="J465" s="18">
        <v>5018.51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20454464.91</v>
      </c>
      <c r="G468" s="18">
        <v>417047.76</v>
      </c>
      <c r="H468" s="18">
        <v>190287.93</v>
      </c>
      <c r="I468" s="18"/>
      <c r="J468" s="18">
        <v>90002.66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20454464.91</v>
      </c>
      <c r="G470" s="53">
        <f>SUM(G468:G469)</f>
        <v>417047.76</v>
      </c>
      <c r="H470" s="53">
        <f>SUM(H468:H469)</f>
        <v>190287.93</v>
      </c>
      <c r="I470" s="53">
        <f>SUM(I468:I469)</f>
        <v>0</v>
      </c>
      <c r="J470" s="53">
        <f>SUM(J468:J469)</f>
        <v>90002.66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20131941.26+6438.48-5076</f>
        <v>20133303.740000002</v>
      </c>
      <c r="G472" s="18">
        <v>507483.59</v>
      </c>
      <c r="H472" s="18">
        <v>190287.93</v>
      </c>
      <c r="I472" s="18"/>
      <c r="J472" s="18">
        <v>50032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20133303.740000002</v>
      </c>
      <c r="G474" s="53">
        <f>SUM(G472:G473)</f>
        <v>507483.59</v>
      </c>
      <c r="H474" s="53">
        <f>SUM(H472:H473)</f>
        <v>190287.93</v>
      </c>
      <c r="I474" s="53">
        <f>SUM(I472:I473)</f>
        <v>0</v>
      </c>
      <c r="J474" s="53">
        <f>SUM(J472:J473)</f>
        <v>50032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722011.59999999776</v>
      </c>
      <c r="G476" s="53">
        <f>(G465+G470)- G474</f>
        <v>18100.330000000016</v>
      </c>
      <c r="H476" s="53">
        <f>(H465+H470)- H474</f>
        <v>0</v>
      </c>
      <c r="I476" s="53">
        <f>(I465+I470)- I474</f>
        <v>0</v>
      </c>
      <c r="J476" s="53">
        <f>(J465+J470)- J474</f>
        <v>44989.17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15</v>
      </c>
      <c r="H490" s="154">
        <v>20</v>
      </c>
      <c r="I490" s="154">
        <v>20</v>
      </c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 t="s">
        <v>912</v>
      </c>
      <c r="H491" s="274" t="s">
        <v>916</v>
      </c>
      <c r="I491" s="274" t="s">
        <v>916</v>
      </c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 t="s">
        <v>915</v>
      </c>
      <c r="H492" s="274" t="s">
        <v>917</v>
      </c>
      <c r="I492" s="274" t="s">
        <v>917</v>
      </c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7703400</v>
      </c>
      <c r="G493" s="18">
        <v>3200000</v>
      </c>
      <c r="H493" s="18">
        <v>8100000</v>
      </c>
      <c r="I493" s="18">
        <v>2700000</v>
      </c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4.54</v>
      </c>
      <c r="G494" s="18">
        <v>5.2</v>
      </c>
      <c r="H494" s="18">
        <v>5.71</v>
      </c>
      <c r="I494" s="18">
        <v>5.71</v>
      </c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5150000</v>
      </c>
      <c r="G495" s="18">
        <v>291303.98</v>
      </c>
      <c r="H495" s="18">
        <v>688863.15</v>
      </c>
      <c r="I495" s="18">
        <v>625000</v>
      </c>
      <c r="J495" s="18"/>
      <c r="K495" s="53">
        <f>SUM(F495:J495)</f>
        <v>6755167.1300000008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360000</v>
      </c>
      <c r="G497" s="18">
        <v>150569.76999999999</v>
      </c>
      <c r="H497" s="18">
        <v>242829.44</v>
      </c>
      <c r="I497" s="18">
        <v>195000</v>
      </c>
      <c r="J497" s="18"/>
      <c r="K497" s="53">
        <f t="shared" si="35"/>
        <v>948399.21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4790000</v>
      </c>
      <c r="G498" s="204">
        <f>G495-G497</f>
        <v>140734.21</v>
      </c>
      <c r="H498" s="204">
        <f>H495-H497</f>
        <v>446033.71</v>
      </c>
      <c r="I498" s="204">
        <f>I495-I497</f>
        <v>430000</v>
      </c>
      <c r="J498" s="204"/>
      <c r="K498" s="205">
        <f t="shared" si="35"/>
        <v>5806767.9199999999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1246394</v>
      </c>
      <c r="G499" s="18">
        <v>162083.51999999999</v>
      </c>
      <c r="H499" s="18">
        <v>913860.44</v>
      </c>
      <c r="I499" s="18">
        <v>12667.75</v>
      </c>
      <c r="J499" s="18"/>
      <c r="K499" s="53">
        <f t="shared" si="35"/>
        <v>2335005.71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6036394</v>
      </c>
      <c r="G500" s="42">
        <f>SUM(G498:G499)</f>
        <v>302817.73</v>
      </c>
      <c r="H500" s="42">
        <f>SUM(H498:H499)</f>
        <v>1359894.15</v>
      </c>
      <c r="I500" s="42">
        <f>SUM(I498:I499)</f>
        <v>442667.75</v>
      </c>
      <c r="J500" s="42">
        <f>SUM(J498:J499)</f>
        <v>0</v>
      </c>
      <c r="K500" s="42">
        <f t="shared" si="35"/>
        <v>8141773.6300000008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380000</v>
      </c>
      <c r="G501" s="204">
        <v>140734.43</v>
      </c>
      <c r="H501" s="204">
        <f>223366.3+6223.42</f>
        <v>229589.72</v>
      </c>
      <c r="I501" s="204">
        <v>210000</v>
      </c>
      <c r="J501" s="204"/>
      <c r="K501" s="205">
        <f t="shared" si="35"/>
        <v>960324.15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101221.5+109062.5</f>
        <v>210284</v>
      </c>
      <c r="G502" s="18">
        <v>162083.07</v>
      </c>
      <c r="H502" s="18">
        <f>438577.45+12751.58</f>
        <v>451329.03</v>
      </c>
      <c r="I502" s="18">
        <f>12362.5+6325</f>
        <v>18687.5</v>
      </c>
      <c r="J502" s="18"/>
      <c r="K502" s="53">
        <f t="shared" si="35"/>
        <v>842383.60000000009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590284</v>
      </c>
      <c r="G503" s="42">
        <f>SUM(G501:G502)</f>
        <v>302817.5</v>
      </c>
      <c r="H503" s="42">
        <f>SUM(H501:H502)</f>
        <v>680918.75</v>
      </c>
      <c r="I503" s="42">
        <f>SUM(I501:I502)</f>
        <v>228687.5</v>
      </c>
      <c r="J503" s="42">
        <f>SUM(J501:J502)</f>
        <v>0</v>
      </c>
      <c r="K503" s="42">
        <f t="shared" si="35"/>
        <v>1802707.75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549942.74+6441.66+57155.67</f>
        <v>613540.07000000007</v>
      </c>
      <c r="G522" s="18">
        <v>121204.96</v>
      </c>
      <c r="H522" s="18">
        <v>192390.26</v>
      </c>
      <c r="I522" s="18">
        <v>1718.62</v>
      </c>
      <c r="J522" s="18"/>
      <c r="K522" s="18"/>
      <c r="L522" s="88">
        <f>SUM(F522:K522)</f>
        <v>928853.91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778191.17+12504.39+110949.24</f>
        <v>901644.80000000005</v>
      </c>
      <c r="G523" s="18">
        <f>179562.91+3589.03</f>
        <v>183151.94</v>
      </c>
      <c r="H523" s="18">
        <f>100+439642.94</f>
        <v>439742.94</v>
      </c>
      <c r="I523" s="18">
        <v>12602.4</v>
      </c>
      <c r="J523" s="18">
        <v>8839.14</v>
      </c>
      <c r="K523" s="18"/>
      <c r="L523" s="88">
        <f>SUM(F523:K523)</f>
        <v>1545981.2199999997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1515184.87</v>
      </c>
      <c r="G524" s="108">
        <f t="shared" ref="G524:L524" si="36">SUM(G521:G523)</f>
        <v>304356.90000000002</v>
      </c>
      <c r="H524" s="108">
        <f t="shared" si="36"/>
        <v>632133.19999999995</v>
      </c>
      <c r="I524" s="108">
        <f t="shared" si="36"/>
        <v>14321.02</v>
      </c>
      <c r="J524" s="108">
        <f t="shared" si="36"/>
        <v>8839.14</v>
      </c>
      <c r="K524" s="108">
        <f t="shared" si="36"/>
        <v>0</v>
      </c>
      <c r="L524" s="89">
        <f t="shared" si="36"/>
        <v>2474835.13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164820.9</v>
      </c>
      <c r="G527" s="18">
        <v>31423.51</v>
      </c>
      <c r="H527" s="18">
        <f>182112.71+4857.21</f>
        <v>186969.91999999998</v>
      </c>
      <c r="I527" s="18">
        <v>1612.47</v>
      </c>
      <c r="J527" s="18"/>
      <c r="K527" s="18"/>
      <c r="L527" s="88">
        <f>SUM(F527:K527)</f>
        <v>384826.79999999993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419041.72</v>
      </c>
      <c r="G528" s="18">
        <v>85292.38</v>
      </c>
      <c r="H528" s="18">
        <f>597712.38+9428.71</f>
        <v>607141.09</v>
      </c>
      <c r="I528" s="18">
        <v>1757.52</v>
      </c>
      <c r="J528" s="18"/>
      <c r="K528" s="18"/>
      <c r="L528" s="88">
        <f>SUM(F528:K528)</f>
        <v>1113232.71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583862.62</v>
      </c>
      <c r="G529" s="89">
        <f t="shared" ref="G529:L529" si="37">SUM(G526:G528)</f>
        <v>116715.89</v>
      </c>
      <c r="H529" s="89">
        <f t="shared" si="37"/>
        <v>794111.01</v>
      </c>
      <c r="I529" s="89">
        <f t="shared" si="37"/>
        <v>3369.99</v>
      </c>
      <c r="J529" s="89">
        <f t="shared" si="37"/>
        <v>0</v>
      </c>
      <c r="K529" s="89">
        <f t="shared" si="37"/>
        <v>0</v>
      </c>
      <c r="L529" s="89">
        <f t="shared" si="37"/>
        <v>1498059.5099999998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8694.52+65394.32</f>
        <v>74088.84</v>
      </c>
      <c r="G532" s="18">
        <v>16467.22</v>
      </c>
      <c r="H532" s="18"/>
      <c r="I532" s="18"/>
      <c r="J532" s="18"/>
      <c r="K532" s="18"/>
      <c r="L532" s="88">
        <f>SUM(F532:K532)</f>
        <v>90556.06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71400</v>
      </c>
      <c r="G533" s="18">
        <v>11367.26</v>
      </c>
      <c r="H533" s="18"/>
      <c r="I533" s="18"/>
      <c r="J533" s="18"/>
      <c r="K533" s="18"/>
      <c r="L533" s="88">
        <f>SUM(F533:K533)</f>
        <v>82767.259999999995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145488.84</v>
      </c>
      <c r="G534" s="89">
        <f t="shared" ref="G534:L534" si="38">SUM(G531:G533)</f>
        <v>27834.480000000003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173323.32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3080.62</v>
      </c>
      <c r="I537" s="18"/>
      <c r="J537" s="18"/>
      <c r="K537" s="18"/>
      <c r="L537" s="88">
        <f>SUM(F537:K537)</f>
        <v>3080.62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5980.03</v>
      </c>
      <c r="I538" s="18"/>
      <c r="J538" s="18"/>
      <c r="K538" s="18"/>
      <c r="L538" s="88">
        <f>SUM(F538:K538)</f>
        <v>5980.03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9060.65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9060.65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78449.83</v>
      </c>
      <c r="I542" s="18"/>
      <c r="J542" s="18"/>
      <c r="K542" s="18"/>
      <c r="L542" s="88">
        <f>SUM(F542:K542)</f>
        <v>78449.83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206555.4</v>
      </c>
      <c r="I543" s="18"/>
      <c r="J543" s="18"/>
      <c r="K543" s="18"/>
      <c r="L543" s="88">
        <f>SUM(F543:K543)</f>
        <v>206555.4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285005.23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285005.23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2244536.33</v>
      </c>
      <c r="G545" s="89">
        <f t="shared" ref="G545:L545" si="41">G524+G529+G534+G539+G544</f>
        <v>448907.27</v>
      </c>
      <c r="H545" s="89">
        <f t="shared" si="41"/>
        <v>1720310.0899999999</v>
      </c>
      <c r="I545" s="89">
        <f t="shared" si="41"/>
        <v>17691.010000000002</v>
      </c>
      <c r="J545" s="89">
        <f t="shared" si="41"/>
        <v>8839.14</v>
      </c>
      <c r="K545" s="89">
        <f t="shared" si="41"/>
        <v>0</v>
      </c>
      <c r="L545" s="89">
        <f t="shared" si="41"/>
        <v>4440283.84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928853.91</v>
      </c>
      <c r="G550" s="87">
        <f>L527</f>
        <v>384826.79999999993</v>
      </c>
      <c r="H550" s="87">
        <f>L532</f>
        <v>90556.06</v>
      </c>
      <c r="I550" s="87">
        <f>L537</f>
        <v>3080.62</v>
      </c>
      <c r="J550" s="87">
        <f>L542</f>
        <v>78449.83</v>
      </c>
      <c r="K550" s="87">
        <f>SUM(F550:J550)</f>
        <v>1485767.2200000002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1545981.2199999997</v>
      </c>
      <c r="G551" s="87">
        <f>L528</f>
        <v>1113232.71</v>
      </c>
      <c r="H551" s="87">
        <f>L533</f>
        <v>82767.259999999995</v>
      </c>
      <c r="I551" s="87">
        <f>L538</f>
        <v>5980.03</v>
      </c>
      <c r="J551" s="87">
        <f>L543</f>
        <v>206555.4</v>
      </c>
      <c r="K551" s="87">
        <f>SUM(F551:J551)</f>
        <v>2954516.6199999992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2474835.13</v>
      </c>
      <c r="G552" s="89">
        <f t="shared" si="42"/>
        <v>1498059.5099999998</v>
      </c>
      <c r="H552" s="89">
        <f t="shared" si="42"/>
        <v>173323.32</v>
      </c>
      <c r="I552" s="89">
        <f t="shared" si="42"/>
        <v>9060.65</v>
      </c>
      <c r="J552" s="89">
        <f t="shared" si="42"/>
        <v>285005.23</v>
      </c>
      <c r="K552" s="89">
        <f t="shared" si="42"/>
        <v>4440283.84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165024.74</v>
      </c>
      <c r="H582" s="18">
        <v>317991.93</v>
      </c>
      <c r="I582" s="87">
        <f t="shared" si="47"/>
        <v>483016.67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185901.8</v>
      </c>
      <c r="I583" s="87">
        <f t="shared" si="47"/>
        <v>185901.8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31526.2</v>
      </c>
      <c r="I584" s="87">
        <f t="shared" si="47"/>
        <v>31526.2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>
        <f>24977.24+180537.5</f>
        <v>205514.74</v>
      </c>
      <c r="J591" s="18">
        <f>12870.66+185062.44</f>
        <v>197933.1</v>
      </c>
      <c r="K591" s="104">
        <f t="shared" ref="K591:K597" si="48">SUM(H591:J591)</f>
        <v>403447.83999999997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>
        <f>9534.4+68915.43</f>
        <v>78449.829999999987</v>
      </c>
      <c r="J592" s="18">
        <f>13431.32+193124.08</f>
        <v>206555.4</v>
      </c>
      <c r="K592" s="104">
        <f t="shared" si="48"/>
        <v>285005.23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f>8250.88+118636.35</f>
        <v>126887.23000000001</v>
      </c>
      <c r="K593" s="104">
        <f t="shared" si="48"/>
        <v>126887.23000000001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f>1085.58+7846.63</f>
        <v>8932.2099999999991</v>
      </c>
      <c r="J594" s="18">
        <f>4129.42+59375.41</f>
        <v>63504.83</v>
      </c>
      <c r="K594" s="104">
        <f t="shared" si="48"/>
        <v>72437.040000000008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>
        <f>116.01+1668.04</f>
        <v>1784.05</v>
      </c>
      <c r="K595" s="104">
        <f t="shared" si="48"/>
        <v>1784.05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>
        <f>18.22+131.71</f>
        <v>149.93</v>
      </c>
      <c r="J597" s="18">
        <f>13.91+200</f>
        <v>213.91</v>
      </c>
      <c r="K597" s="104">
        <f t="shared" si="48"/>
        <v>363.84000000000003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293046.70999999996</v>
      </c>
      <c r="J598" s="108">
        <f>SUM(J591:J597)</f>
        <v>596878.52</v>
      </c>
      <c r="K598" s="108">
        <f>SUM(K591:K597)</f>
        <v>889925.23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>
        <f>52142.29+268</f>
        <v>52410.29</v>
      </c>
      <c r="J604" s="18">
        <v>67395.14</v>
      </c>
      <c r="K604" s="104">
        <f>SUM(H604:J604)</f>
        <v>119805.43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52410.29</v>
      </c>
      <c r="J605" s="108">
        <f>SUM(J602:J604)</f>
        <v>67395.14</v>
      </c>
      <c r="K605" s="108">
        <f>SUM(K602:K604)</f>
        <v>119805.43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1712615.8900000001</v>
      </c>
      <c r="H617" s="109">
        <f>SUM(F52)</f>
        <v>1712615.8900000001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36460.639999999999</v>
      </c>
      <c r="H618" s="109">
        <f>SUM(G52)</f>
        <v>36460.639999999999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188695.52000000002</v>
      </c>
      <c r="H619" s="109">
        <f>SUM(H52)</f>
        <v>188695.52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70600.539999999994</v>
      </c>
      <c r="H621" s="109">
        <f>SUM(J52)</f>
        <v>70600.539999999994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722011.6</v>
      </c>
      <c r="H622" s="109">
        <f>F476</f>
        <v>722011.59999999776</v>
      </c>
      <c r="I622" s="121" t="s">
        <v>101</v>
      </c>
      <c r="J622" s="109">
        <f t="shared" ref="J622:J655" si="50">G622-H622</f>
        <v>2.2118911147117615E-9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18100.330000000002</v>
      </c>
      <c r="H623" s="109">
        <f>G476</f>
        <v>18100.330000000016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44989.17</v>
      </c>
      <c r="H626" s="109">
        <f>J476</f>
        <v>44989.17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20454464.91</v>
      </c>
      <c r="H627" s="104">
        <f>SUM(F468)</f>
        <v>20454464.91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417047.76</v>
      </c>
      <c r="H628" s="104">
        <f>SUM(G468)</f>
        <v>417047.76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190287.93000000002</v>
      </c>
      <c r="H629" s="104">
        <f>SUM(H468)</f>
        <v>190287.93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90002.66</v>
      </c>
      <c r="H631" s="104">
        <f>SUM(J468)</f>
        <v>90002.66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20133303.739999998</v>
      </c>
      <c r="H632" s="104">
        <f>SUM(F472)</f>
        <v>20133303.740000002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190287.93</v>
      </c>
      <c r="H633" s="104">
        <f>SUM(H472)</f>
        <v>190287.93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243836.59999999998</v>
      </c>
      <c r="H634" s="104">
        <f>I369</f>
        <v>243836.6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507483.58999999997</v>
      </c>
      <c r="H635" s="104">
        <f>SUM(G472)</f>
        <v>507483.59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90002.66</v>
      </c>
      <c r="H637" s="164">
        <f>SUM(J468)</f>
        <v>90002.66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50032</v>
      </c>
      <c r="H638" s="164">
        <f>SUM(J472)</f>
        <v>50032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70600.539999999994</v>
      </c>
      <c r="H640" s="104">
        <f>SUM(G461)</f>
        <v>70600.539999999994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70600.539999999994</v>
      </c>
      <c r="H642" s="104">
        <f>SUM(I461)</f>
        <v>70600.539999999994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2.66</v>
      </c>
      <c r="H644" s="104">
        <f>H408</f>
        <v>2.66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90000</v>
      </c>
      <c r="H645" s="104">
        <f>G408</f>
        <v>90000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90002.66</v>
      </c>
      <c r="H646" s="104">
        <f>L408</f>
        <v>90002.66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889925.23</v>
      </c>
      <c r="H647" s="104">
        <f>L208+L226+L244</f>
        <v>889925.23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119805.43</v>
      </c>
      <c r="H648" s="104">
        <f>(J257+J338)-(J255+J336)</f>
        <v>119805.43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0</v>
      </c>
      <c r="H649" s="104">
        <f>H598</f>
        <v>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293046.71000000002</v>
      </c>
      <c r="H650" s="104">
        <f>I598</f>
        <v>293046.70999999996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596878.5199999999</v>
      </c>
      <c r="H651" s="104">
        <f>J598</f>
        <v>596878.52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90000</v>
      </c>
      <c r="H655" s="104">
        <f>K266+K347</f>
        <v>90000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6537329.6100000003</v>
      </c>
      <c r="H660" s="19">
        <f>(L247+L328+L360)</f>
        <v>12300778.149999997</v>
      </c>
      <c r="I660" s="19">
        <f>SUM(F660:H660)</f>
        <v>18838107.759999998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116278.33546127571</v>
      </c>
      <c r="H661" s="19">
        <f>(L360/IF(SUM(L358:L360)=0,1,SUM(L358:L360))*(SUM(G97:G110)))</f>
        <v>254526.0545387243</v>
      </c>
      <c r="I661" s="19">
        <f>SUM(F661:H661)</f>
        <v>370804.39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293046.71000000002</v>
      </c>
      <c r="H662" s="19">
        <f>(L244+L325)-(J244+J325)</f>
        <v>596878.5199999999</v>
      </c>
      <c r="I662" s="19">
        <f>SUM(F662:H662)</f>
        <v>889925.23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217435.03</v>
      </c>
      <c r="H663" s="199">
        <f>SUM(H575:H587)+SUM(J602:J604)+L613</f>
        <v>602815.06999999995</v>
      </c>
      <c r="I663" s="19">
        <f>SUM(F663:H663)</f>
        <v>820250.1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5910569.5345387245</v>
      </c>
      <c r="H664" s="19">
        <f>H660-SUM(H661:H663)</f>
        <v>10846558.505461272</v>
      </c>
      <c r="I664" s="19">
        <f>I660-SUM(I661:I663)</f>
        <v>16757128.039999997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>
        <v>405.5</v>
      </c>
      <c r="H665" s="248">
        <v>828.76</v>
      </c>
      <c r="I665" s="19">
        <f>SUM(F665:H665)</f>
        <v>1234.26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>
        <f>ROUND(G664/G665,2)</f>
        <v>14576</v>
      </c>
      <c r="H667" s="19">
        <f>ROUND(H664/H665,2)</f>
        <v>13087.7</v>
      </c>
      <c r="I667" s="19">
        <f>ROUND(I664/I665,2)</f>
        <v>13576.66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-7.39</v>
      </c>
      <c r="I670" s="19">
        <f>SUM(F670:H670)</f>
        <v>-7.39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>
        <f>ROUND((G664+G669)/(G665+G670),2)</f>
        <v>14576</v>
      </c>
      <c r="H672" s="19">
        <f>ROUND((H664+H669)/(H665+H670),2)</f>
        <v>13205.45</v>
      </c>
      <c r="I672" s="19">
        <f>ROUND((I664+I669)/(I665+I670),2)</f>
        <v>13658.44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Hollis Brookline Cooperative 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5065100.17</v>
      </c>
      <c r="C9" s="229">
        <f>'DOE25'!G197+'DOE25'!G215+'DOE25'!G233+'DOE25'!G276+'DOE25'!G295+'DOE25'!G314</f>
        <v>2002196.16</v>
      </c>
    </row>
    <row r="10" spans="1:3" x14ac:dyDescent="0.2">
      <c r="A10" t="s">
        <v>779</v>
      </c>
      <c r="B10" s="240">
        <v>4960490.0999999996</v>
      </c>
      <c r="C10" s="240">
        <f>B10/B13*C9</f>
        <v>1960844.5828501778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f>102207.57+2402.5</f>
        <v>104610.07</v>
      </c>
      <c r="C12" s="240">
        <f>B12/B13*C9</f>
        <v>41351.577149821933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5065100.17</v>
      </c>
      <c r="C13" s="231">
        <f>SUM(C10:C12)</f>
        <v>2002196.1599999997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1847455.68</v>
      </c>
      <c r="C18" s="229">
        <f>'DOE25'!G198+'DOE25'!G216+'DOE25'!G234+'DOE25'!G277+'DOE25'!G296+'DOE25'!G315</f>
        <v>677158.2</v>
      </c>
    </row>
    <row r="19" spans="1:3" x14ac:dyDescent="0.2">
      <c r="A19" t="s">
        <v>779</v>
      </c>
      <c r="B19" s="240">
        <v>1019099.21</v>
      </c>
      <c r="C19" s="240">
        <f>B19/B22*C18</f>
        <v>373536.09839507606</v>
      </c>
    </row>
    <row r="20" spans="1:3" x14ac:dyDescent="0.2">
      <c r="A20" t="s">
        <v>780</v>
      </c>
      <c r="B20" s="240">
        <v>668117.34</v>
      </c>
      <c r="C20" s="240">
        <f>B20/B22*C18</f>
        <v>244888.76255109298</v>
      </c>
    </row>
    <row r="21" spans="1:3" x14ac:dyDescent="0.2">
      <c r="A21" t="s">
        <v>781</v>
      </c>
      <c r="B21" s="240">
        <v>160239.13</v>
      </c>
      <c r="C21" s="240">
        <f>B21/B22*C18</f>
        <v>58733.339053831056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1847455.6799999997</v>
      </c>
      <c r="C22" s="231">
        <f>SUM(C19:C21)</f>
        <v>677158.20000000007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27356</v>
      </c>
      <c r="C27" s="234">
        <f>'DOE25'!G199+'DOE25'!G217+'DOE25'!G235+'DOE25'!G278+'DOE25'!G297+'DOE25'!G316</f>
        <v>10792.33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v>27356</v>
      </c>
      <c r="C30" s="240">
        <v>10792.33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27356</v>
      </c>
      <c r="C31" s="231">
        <f>SUM(C28:C30)</f>
        <v>10792.33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383293.53</v>
      </c>
      <c r="C36" s="235">
        <f>'DOE25'!G200+'DOE25'!G218+'DOE25'!G236+'DOE25'!G279+'DOE25'!G298+'DOE25'!G317</f>
        <v>151375.04999999999</v>
      </c>
    </row>
    <row r="37" spans="1:3" x14ac:dyDescent="0.2">
      <c r="A37" t="s">
        <v>779</v>
      </c>
      <c r="B37" s="240">
        <v>87203</v>
      </c>
      <c r="C37" s="240">
        <f>B37/B40*C36</f>
        <v>34439.293783931076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296090.53000000003</v>
      </c>
      <c r="C39" s="240">
        <f>B39/B40*C36</f>
        <v>116935.75621606891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383293.53</v>
      </c>
      <c r="C40" s="231">
        <f>SUM(C37:C39)</f>
        <v>151375.04999999999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 xml:space="preserve">Hollis Brookline Cooperative 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11734933.440000001</v>
      </c>
      <c r="D5" s="20">
        <f>SUM('DOE25'!L197:L200)+SUM('DOE25'!L215:L218)+SUM('DOE25'!L233:L236)-F5-G5</f>
        <v>11669255.870000001</v>
      </c>
      <c r="E5" s="243"/>
      <c r="F5" s="255">
        <f>SUM('DOE25'!J197:J200)+SUM('DOE25'!J215:J218)+SUM('DOE25'!J233:J236)</f>
        <v>37539.35</v>
      </c>
      <c r="G5" s="53">
        <f>SUM('DOE25'!K197:K200)+SUM('DOE25'!K215:K218)+SUM('DOE25'!K233:K236)</f>
        <v>28138.219999999998</v>
      </c>
      <c r="H5" s="259"/>
    </row>
    <row r="6" spans="1:9" x14ac:dyDescent="0.2">
      <c r="A6" s="32">
        <v>2100</v>
      </c>
      <c r="B6" t="s">
        <v>801</v>
      </c>
      <c r="C6" s="245">
        <f t="shared" si="0"/>
        <v>1658633.96</v>
      </c>
      <c r="D6" s="20">
        <f>'DOE25'!L202+'DOE25'!L220+'DOE25'!L238-F6-G6</f>
        <v>1656275.3599999999</v>
      </c>
      <c r="E6" s="243"/>
      <c r="F6" s="255">
        <f>'DOE25'!J202+'DOE25'!J220+'DOE25'!J238</f>
        <v>1328.6</v>
      </c>
      <c r="G6" s="53">
        <f>'DOE25'!K202+'DOE25'!K220+'DOE25'!K238</f>
        <v>1030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634782.02</v>
      </c>
      <c r="D7" s="20">
        <f>'DOE25'!L203+'DOE25'!L221+'DOE25'!L239-F7-G7</f>
        <v>556519.05000000005</v>
      </c>
      <c r="E7" s="243"/>
      <c r="F7" s="255">
        <f>'DOE25'!J203+'DOE25'!J221+'DOE25'!J239</f>
        <v>78084.97</v>
      </c>
      <c r="G7" s="53">
        <f>'DOE25'!K203+'DOE25'!K221+'DOE25'!K239</f>
        <v>178</v>
      </c>
      <c r="H7" s="259"/>
    </row>
    <row r="8" spans="1:9" x14ac:dyDescent="0.2">
      <c r="A8" s="32">
        <v>2300</v>
      </c>
      <c r="B8" t="s">
        <v>802</v>
      </c>
      <c r="C8" s="245">
        <f t="shared" si="0"/>
        <v>466884.68</v>
      </c>
      <c r="D8" s="243"/>
      <c r="E8" s="20">
        <f>'DOE25'!L204+'DOE25'!L222+'DOE25'!L240-F8-G8-D9-D11</f>
        <v>466884.68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61513.599999999999</v>
      </c>
      <c r="D9" s="244">
        <v>61513.599999999999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14500</v>
      </c>
      <c r="D10" s="243"/>
      <c r="E10" s="244">
        <v>14500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222568.32000000001</v>
      </c>
      <c r="D11" s="244">
        <v>222568.32000000001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1139827.8500000001</v>
      </c>
      <c r="D12" s="20">
        <f>'DOE25'!L205+'DOE25'!L223+'DOE25'!L241-F12-G12</f>
        <v>1117714.05</v>
      </c>
      <c r="E12" s="243"/>
      <c r="F12" s="255">
        <f>'DOE25'!J205+'DOE25'!J223+'DOE25'!J241</f>
        <v>0</v>
      </c>
      <c r="G12" s="53">
        <f>'DOE25'!K205+'DOE25'!K223+'DOE25'!K241</f>
        <v>22113.800000000003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1331267.1400000001</v>
      </c>
      <c r="D14" s="20">
        <f>'DOE25'!L207+'DOE25'!L225+'DOE25'!L243-F14-G14</f>
        <v>1328414.6300000001</v>
      </c>
      <c r="E14" s="243"/>
      <c r="F14" s="255">
        <f>'DOE25'!J207+'DOE25'!J225+'DOE25'!J243</f>
        <v>2852.51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889925.23</v>
      </c>
      <c r="D15" s="20">
        <f>'DOE25'!L208+'DOE25'!L226+'DOE25'!L244-F15-G15</f>
        <v>889925.23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99886</v>
      </c>
      <c r="D22" s="243"/>
      <c r="E22" s="243"/>
      <c r="F22" s="255">
        <f>'DOE25'!L255+'DOE25'!L336</f>
        <v>99886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1803081.5</v>
      </c>
      <c r="D25" s="243"/>
      <c r="E25" s="243"/>
      <c r="F25" s="258"/>
      <c r="G25" s="256"/>
      <c r="H25" s="257">
        <f>'DOE25'!L260+'DOE25'!L261+'DOE25'!L341+'DOE25'!L342</f>
        <v>1803081.5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290053.49</v>
      </c>
      <c r="D29" s="20">
        <f>'DOE25'!L358+'DOE25'!L359+'DOE25'!L360-'DOE25'!I367-F29-G29</f>
        <v>257755.75</v>
      </c>
      <c r="E29" s="243"/>
      <c r="F29" s="255">
        <f>'DOE25'!J358+'DOE25'!J359+'DOE25'!J360</f>
        <v>32297.74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190287.93</v>
      </c>
      <c r="D31" s="20">
        <f>'DOE25'!L290+'DOE25'!L309+'DOE25'!L328+'DOE25'!L333+'DOE25'!L334+'DOE25'!L335-F31-G31</f>
        <v>185577.35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4710.58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17945519.210000005</v>
      </c>
      <c r="E33" s="246">
        <f>SUM(E5:E31)</f>
        <v>481384.68</v>
      </c>
      <c r="F33" s="246">
        <f>SUM(F5:F31)</f>
        <v>251989.16999999998</v>
      </c>
      <c r="G33" s="246">
        <f>SUM(G5:G31)</f>
        <v>56170.600000000006</v>
      </c>
      <c r="H33" s="246">
        <f>SUM(H5:H31)</f>
        <v>1803081.5</v>
      </c>
    </row>
    <row r="35" spans="2:8" ht="12" thickBot="1" x14ac:dyDescent="0.25">
      <c r="B35" s="253" t="s">
        <v>847</v>
      </c>
      <c r="D35" s="254">
        <f>E33</f>
        <v>481384.68</v>
      </c>
      <c r="E35" s="249"/>
    </row>
    <row r="36" spans="2:8" ht="12" thickTop="1" x14ac:dyDescent="0.2">
      <c r="B36" t="s">
        <v>815</v>
      </c>
      <c r="D36" s="20">
        <f>D33</f>
        <v>17945519.210000005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Hollis Brookline Cooperative 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133740.25</v>
      </c>
      <c r="D8" s="95">
        <f>'DOE25'!G9</f>
        <v>39720.75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7811.46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809212.68</v>
      </c>
      <c r="D11" s="95">
        <f>'DOE25'!G12</f>
        <v>-17847.32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725445.18</v>
      </c>
      <c r="D12" s="95">
        <f>'DOE25'!G13</f>
        <v>6554</v>
      </c>
      <c r="E12" s="95">
        <f>'DOE25'!H13</f>
        <v>186964.85</v>
      </c>
      <c r="F12" s="95">
        <f>'DOE25'!I13</f>
        <v>0</v>
      </c>
      <c r="G12" s="95">
        <f>'DOE25'!J13</f>
        <v>70600.539999999994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1915.87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8033.21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35606.230000000003</v>
      </c>
      <c r="D16" s="95">
        <f>'DOE25'!G17</f>
        <v>0</v>
      </c>
      <c r="E16" s="95">
        <f>'DOE25'!H17</f>
        <v>1730.67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-1115.78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1712615.8900000001</v>
      </c>
      <c r="D18" s="41">
        <f>SUM(D8:D17)</f>
        <v>36460.639999999999</v>
      </c>
      <c r="E18" s="41">
        <f>SUM(E8:E17)</f>
        <v>188695.52000000002</v>
      </c>
      <c r="F18" s="41">
        <f>SUM(F8:F17)</f>
        <v>0</v>
      </c>
      <c r="G18" s="41">
        <f>SUM(G8:G17)</f>
        <v>70600.539999999994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706696.21</v>
      </c>
      <c r="D21" s="95">
        <f>'DOE25'!G22</f>
        <v>0</v>
      </c>
      <c r="E21" s="95">
        <f>'DOE25'!H22</f>
        <v>183484.94</v>
      </c>
      <c r="F21" s="95">
        <f>'DOE25'!I22</f>
        <v>0</v>
      </c>
      <c r="G21" s="95">
        <f>'DOE25'!J22</f>
        <v>23428.12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18057.919999999998</v>
      </c>
      <c r="D22" s="95">
        <f>'DOE25'!G23</f>
        <v>0</v>
      </c>
      <c r="E22" s="95">
        <f>'DOE25'!H23</f>
        <v>5210.58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189131.92</v>
      </c>
      <c r="D23" s="95">
        <f>'DOE25'!G24</f>
        <v>528.6</v>
      </c>
      <c r="E23" s="95">
        <f>'DOE25'!H24</f>
        <v>0</v>
      </c>
      <c r="F23" s="95">
        <f>'DOE25'!I24</f>
        <v>0</v>
      </c>
      <c r="G23" s="95">
        <f>'DOE25'!J24</f>
        <v>2183.25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68280.289999999994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8237.9500000000007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200</v>
      </c>
      <c r="D29" s="95">
        <f>'DOE25'!G30</f>
        <v>17831.71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990604.29</v>
      </c>
      <c r="D31" s="41">
        <f>SUM(D21:D30)</f>
        <v>18360.309999999998</v>
      </c>
      <c r="E31" s="41">
        <f>SUM(E21:E30)</f>
        <v>188695.52</v>
      </c>
      <c r="F31" s="41">
        <f>SUM(F21:F30)</f>
        <v>0</v>
      </c>
      <c r="G31" s="41">
        <f>SUM(G21:G30)</f>
        <v>25611.37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8033.21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35606.230000000003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9337.1299999999992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182539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141762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44989.17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62697</v>
      </c>
      <c r="D48" s="95">
        <f>'DOE25'!G49</f>
        <v>729.99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299407.37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722011.6</v>
      </c>
      <c r="D50" s="41">
        <f>SUM(D34:D49)</f>
        <v>18100.330000000002</v>
      </c>
      <c r="E50" s="41">
        <f>SUM(E34:E49)</f>
        <v>0</v>
      </c>
      <c r="F50" s="41">
        <f>SUM(F34:F49)</f>
        <v>0</v>
      </c>
      <c r="G50" s="41">
        <f>SUM(G34:G49)</f>
        <v>44989.17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1712615.8900000001</v>
      </c>
      <c r="D51" s="41">
        <f>D50+D31</f>
        <v>36460.639999999999</v>
      </c>
      <c r="E51" s="41">
        <f>E50+E31</f>
        <v>188695.52</v>
      </c>
      <c r="F51" s="41">
        <f>F50+F31</f>
        <v>0</v>
      </c>
      <c r="G51" s="41">
        <f>G50+G31</f>
        <v>70600.539999999994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13910558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3743.4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2.66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370804.39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224931.03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228674.43</v>
      </c>
      <c r="D62" s="130">
        <f>SUM(D57:D61)</f>
        <v>370804.39</v>
      </c>
      <c r="E62" s="130">
        <f>SUM(E57:E61)</f>
        <v>0</v>
      </c>
      <c r="F62" s="130">
        <f>SUM(F57:F61)</f>
        <v>0</v>
      </c>
      <c r="G62" s="130">
        <f>SUM(G57:G61)</f>
        <v>2.66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14139232.43</v>
      </c>
      <c r="D63" s="22">
        <f>D56+D62</f>
        <v>370804.39</v>
      </c>
      <c r="E63" s="22">
        <f>E56+E62</f>
        <v>0</v>
      </c>
      <c r="F63" s="22">
        <f>F56+F62</f>
        <v>0</v>
      </c>
      <c r="G63" s="22">
        <f>G56+G62</f>
        <v>2.66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3044831.82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2222029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5266860.82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400514.32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474431.59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8958.7000000000007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3003.51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883904.61</v>
      </c>
      <c r="D78" s="130">
        <f>SUM(D72:D77)</f>
        <v>3003.51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6150765.4300000006</v>
      </c>
      <c r="D81" s="130">
        <f>SUM(D79:D80)+D78+D70</f>
        <v>3003.51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11768.87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158747.51</v>
      </c>
      <c r="D88" s="95">
        <f>SUM('DOE25'!G153:G161)</f>
        <v>31470.989999999998</v>
      </c>
      <c r="E88" s="95">
        <f>SUM('DOE25'!H153:H161)</f>
        <v>190287.93000000002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158747.51</v>
      </c>
      <c r="D91" s="131">
        <f>SUM(D85:D90)</f>
        <v>43239.86</v>
      </c>
      <c r="E91" s="131">
        <f>SUM(E85:E90)</f>
        <v>190287.93000000002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90000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5719.54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5719.54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90000</v>
      </c>
    </row>
    <row r="104" spans="1:7" ht="12.75" thickTop="1" thickBot="1" x14ac:dyDescent="0.25">
      <c r="A104" s="33" t="s">
        <v>765</v>
      </c>
      <c r="C104" s="86">
        <f>C63+C81+C91+C103</f>
        <v>20454464.91</v>
      </c>
      <c r="D104" s="86">
        <f>D63+D81+D91+D103</f>
        <v>417047.76</v>
      </c>
      <c r="E104" s="86">
        <f>E63+E81+E91+E103</f>
        <v>190287.93000000002</v>
      </c>
      <c r="F104" s="86">
        <f>F63+F81+F91+F103</f>
        <v>0</v>
      </c>
      <c r="G104" s="86">
        <f>G63+G81+G103</f>
        <v>90002.66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7292180.5600000005</v>
      </c>
      <c r="D109" s="24" t="s">
        <v>289</v>
      </c>
      <c r="E109" s="95">
        <f>('DOE25'!L276)+('DOE25'!L295)+('DOE25'!L314)</f>
        <v>4401.26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3738247.11</v>
      </c>
      <c r="D110" s="24" t="s">
        <v>289</v>
      </c>
      <c r="E110" s="95">
        <f>('DOE25'!L277)+('DOE25'!L296)+('DOE25'!L315)</f>
        <v>185886.66999999998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60589.899999999987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643915.87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11734933.439999999</v>
      </c>
      <c r="D115" s="86">
        <f>SUM(D109:D114)</f>
        <v>0</v>
      </c>
      <c r="E115" s="86">
        <f>SUM(E109:E114)</f>
        <v>190287.93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1658633.96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634782.02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750966.6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1139827.8500000001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1331267.1400000001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889925.23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507483.58999999997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6405402.8000000007</v>
      </c>
      <c r="D128" s="86">
        <f>SUM(D118:D127)</f>
        <v>507483.58999999997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99886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948399.21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854682.29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90002.66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-2.6600000000034925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1992967.5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20133303.740000002</v>
      </c>
      <c r="D145" s="86">
        <f>(D115+D128+D144)</f>
        <v>507483.58999999997</v>
      </c>
      <c r="E145" s="86">
        <f>(E115+E128+E144)</f>
        <v>190287.93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15</v>
      </c>
      <c r="D151" s="153">
        <f>'DOE25'!H490</f>
        <v>20</v>
      </c>
      <c r="E151" s="153">
        <f>'DOE25'!I490</f>
        <v>20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8/04</v>
      </c>
      <c r="C152" s="152" t="str">
        <f>'DOE25'!G491</f>
        <v>8/00</v>
      </c>
      <c r="D152" s="152" t="str">
        <f>'DOE25'!H491</f>
        <v>08/96</v>
      </c>
      <c r="E152" s="152" t="str">
        <f>'DOE25'!I491</f>
        <v>08/96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8/24</v>
      </c>
      <c r="C153" s="152" t="str">
        <f>'DOE25'!G492</f>
        <v>8/15</v>
      </c>
      <c r="D153" s="152" t="str">
        <f>'DOE25'!H492</f>
        <v>08/16</v>
      </c>
      <c r="E153" s="152" t="str">
        <f>'DOE25'!I492</f>
        <v>08/16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7703400</v>
      </c>
      <c r="C154" s="137">
        <f>'DOE25'!G493</f>
        <v>3200000</v>
      </c>
      <c r="D154" s="137">
        <f>'DOE25'!H493</f>
        <v>8100000</v>
      </c>
      <c r="E154" s="137">
        <f>'DOE25'!I493</f>
        <v>2700000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4.54</v>
      </c>
      <c r="C155" s="137">
        <f>'DOE25'!G494</f>
        <v>5.2</v>
      </c>
      <c r="D155" s="137">
        <f>'DOE25'!H494</f>
        <v>5.71</v>
      </c>
      <c r="E155" s="137">
        <f>'DOE25'!I494</f>
        <v>5.71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5150000</v>
      </c>
      <c r="C156" s="137">
        <f>'DOE25'!G495</f>
        <v>291303.98</v>
      </c>
      <c r="D156" s="137">
        <f>'DOE25'!H495</f>
        <v>688863.15</v>
      </c>
      <c r="E156" s="137">
        <f>'DOE25'!I495</f>
        <v>625000</v>
      </c>
      <c r="F156" s="137">
        <f>'DOE25'!J495</f>
        <v>0</v>
      </c>
      <c r="G156" s="138">
        <f>SUM(B156:F156)</f>
        <v>6755167.1300000008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360000</v>
      </c>
      <c r="C158" s="137">
        <f>'DOE25'!G497</f>
        <v>150569.76999999999</v>
      </c>
      <c r="D158" s="137">
        <f>'DOE25'!H497</f>
        <v>242829.44</v>
      </c>
      <c r="E158" s="137">
        <f>'DOE25'!I497</f>
        <v>195000</v>
      </c>
      <c r="F158" s="137">
        <f>'DOE25'!J497</f>
        <v>0</v>
      </c>
      <c r="G158" s="138">
        <f t="shared" si="0"/>
        <v>948399.21</v>
      </c>
    </row>
    <row r="159" spans="1:9" x14ac:dyDescent="0.2">
      <c r="A159" s="22" t="s">
        <v>35</v>
      </c>
      <c r="B159" s="137">
        <f>'DOE25'!F498</f>
        <v>4790000</v>
      </c>
      <c r="C159" s="137">
        <f>'DOE25'!G498</f>
        <v>140734.21</v>
      </c>
      <c r="D159" s="137">
        <f>'DOE25'!H498</f>
        <v>446033.71</v>
      </c>
      <c r="E159" s="137">
        <f>'DOE25'!I498</f>
        <v>430000</v>
      </c>
      <c r="F159" s="137">
        <f>'DOE25'!J498</f>
        <v>0</v>
      </c>
      <c r="G159" s="138">
        <f t="shared" si="0"/>
        <v>5806767.9199999999</v>
      </c>
    </row>
    <row r="160" spans="1:9" x14ac:dyDescent="0.2">
      <c r="A160" s="22" t="s">
        <v>36</v>
      </c>
      <c r="B160" s="137">
        <f>'DOE25'!F499</f>
        <v>1246394</v>
      </c>
      <c r="C160" s="137">
        <f>'DOE25'!G499</f>
        <v>162083.51999999999</v>
      </c>
      <c r="D160" s="137">
        <f>'DOE25'!H499</f>
        <v>913860.44</v>
      </c>
      <c r="E160" s="137">
        <f>'DOE25'!I499</f>
        <v>12667.75</v>
      </c>
      <c r="F160" s="137">
        <f>'DOE25'!J499</f>
        <v>0</v>
      </c>
      <c r="G160" s="138">
        <f t="shared" si="0"/>
        <v>2335005.71</v>
      </c>
    </row>
    <row r="161" spans="1:7" x14ac:dyDescent="0.2">
      <c r="A161" s="22" t="s">
        <v>37</v>
      </c>
      <c r="B161" s="137">
        <f>'DOE25'!F500</f>
        <v>6036394</v>
      </c>
      <c r="C161" s="137">
        <f>'DOE25'!G500</f>
        <v>302817.73</v>
      </c>
      <c r="D161" s="137">
        <f>'DOE25'!H500</f>
        <v>1359894.15</v>
      </c>
      <c r="E161" s="137">
        <f>'DOE25'!I500</f>
        <v>442667.75</v>
      </c>
      <c r="F161" s="137">
        <f>'DOE25'!J500</f>
        <v>0</v>
      </c>
      <c r="G161" s="138">
        <f t="shared" si="0"/>
        <v>8141773.6300000008</v>
      </c>
    </row>
    <row r="162" spans="1:7" x14ac:dyDescent="0.2">
      <c r="A162" s="22" t="s">
        <v>38</v>
      </c>
      <c r="B162" s="137">
        <f>'DOE25'!F501</f>
        <v>380000</v>
      </c>
      <c r="C162" s="137">
        <f>'DOE25'!G501</f>
        <v>140734.43</v>
      </c>
      <c r="D162" s="137">
        <f>'DOE25'!H501</f>
        <v>229589.72</v>
      </c>
      <c r="E162" s="137">
        <f>'DOE25'!I501</f>
        <v>210000</v>
      </c>
      <c r="F162" s="137">
        <f>'DOE25'!J501</f>
        <v>0</v>
      </c>
      <c r="G162" s="138">
        <f t="shared" si="0"/>
        <v>960324.15</v>
      </c>
    </row>
    <row r="163" spans="1:7" x14ac:dyDescent="0.2">
      <c r="A163" s="22" t="s">
        <v>39</v>
      </c>
      <c r="B163" s="137">
        <f>'DOE25'!F502</f>
        <v>210284</v>
      </c>
      <c r="C163" s="137">
        <f>'DOE25'!G502</f>
        <v>162083.07</v>
      </c>
      <c r="D163" s="137">
        <f>'DOE25'!H502</f>
        <v>451329.03</v>
      </c>
      <c r="E163" s="137">
        <f>'DOE25'!I502</f>
        <v>18687.5</v>
      </c>
      <c r="F163" s="137">
        <f>'DOE25'!J502</f>
        <v>0</v>
      </c>
      <c r="G163" s="138">
        <f t="shared" si="0"/>
        <v>842383.60000000009</v>
      </c>
    </row>
    <row r="164" spans="1:7" x14ac:dyDescent="0.2">
      <c r="A164" s="22" t="s">
        <v>246</v>
      </c>
      <c r="B164" s="137">
        <f>'DOE25'!F503</f>
        <v>590284</v>
      </c>
      <c r="C164" s="137">
        <f>'DOE25'!G503</f>
        <v>302817.5</v>
      </c>
      <c r="D164" s="137">
        <f>'DOE25'!H503</f>
        <v>680918.75</v>
      </c>
      <c r="E164" s="137">
        <f>'DOE25'!I503</f>
        <v>228687.5</v>
      </c>
      <c r="F164" s="137">
        <f>'DOE25'!J503</f>
        <v>0</v>
      </c>
      <c r="G164" s="138">
        <f t="shared" si="0"/>
        <v>1802707.75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3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 xml:space="preserve">Hollis Brookline Cooperative 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14576</v>
      </c>
    </row>
    <row r="6" spans="1:4" x14ac:dyDescent="0.2">
      <c r="B6" t="s">
        <v>62</v>
      </c>
      <c r="C6" s="179">
        <f>IF('DOE25'!H665+'DOE25'!H670=0,0,ROUND('DOE25'!H672,0))</f>
        <v>13205</v>
      </c>
    </row>
    <row r="7" spans="1:4" x14ac:dyDescent="0.2">
      <c r="B7" t="s">
        <v>705</v>
      </c>
      <c r="C7" s="179">
        <f>IF('DOE25'!I665+'DOE25'!I670=0,0,ROUND('DOE25'!I672,0))</f>
        <v>13658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7296582</v>
      </c>
      <c r="D10" s="182">
        <f>ROUND((C10/$C$28)*100,1)</f>
        <v>37.799999999999997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3924134</v>
      </c>
      <c r="D11" s="182">
        <f>ROUND((C11/$C$28)*100,1)</f>
        <v>20.3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60590</v>
      </c>
      <c r="D12" s="182">
        <f>ROUND((C12/$C$28)*100,1)</f>
        <v>0.3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643916</v>
      </c>
      <c r="D13" s="182">
        <f>ROUND((C13/$C$28)*100,1)</f>
        <v>3.3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1658634</v>
      </c>
      <c r="D15" s="182">
        <f t="shared" ref="D15:D27" si="0">ROUND((C15/$C$28)*100,1)</f>
        <v>8.6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634782</v>
      </c>
      <c r="D16" s="182">
        <f t="shared" si="0"/>
        <v>3.3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750967</v>
      </c>
      <c r="D17" s="182">
        <f t="shared" si="0"/>
        <v>3.9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1139828</v>
      </c>
      <c r="D18" s="182">
        <f t="shared" si="0"/>
        <v>5.9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1331267</v>
      </c>
      <c r="D20" s="182">
        <f t="shared" si="0"/>
        <v>6.9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889925</v>
      </c>
      <c r="D21" s="182">
        <f t="shared" si="0"/>
        <v>4.5999999999999996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854682</v>
      </c>
      <c r="D25" s="182">
        <f t="shared" si="0"/>
        <v>4.4000000000000004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136679.60999999999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19321986.609999999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99886</v>
      </c>
    </row>
    <row r="30" spans="1:4" x14ac:dyDescent="0.2">
      <c r="B30" s="187" t="s">
        <v>729</v>
      </c>
      <c r="C30" s="180">
        <f>SUM(C28:C29)</f>
        <v>19421872.609999999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948399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13910558</v>
      </c>
      <c r="D35" s="182">
        <f t="shared" ref="D35:D40" si="1">ROUND((C35/$C$41)*100,1)</f>
        <v>67.2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228677.08999999985</v>
      </c>
      <c r="D36" s="182">
        <f t="shared" si="1"/>
        <v>1.1000000000000001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5266861</v>
      </c>
      <c r="D37" s="182">
        <f t="shared" si="1"/>
        <v>25.5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886908</v>
      </c>
      <c r="D38" s="182">
        <f t="shared" si="1"/>
        <v>4.3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392275</v>
      </c>
      <c r="D39" s="182">
        <f t="shared" si="1"/>
        <v>1.9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20685279.09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 xml:space="preserve">Hollis Brookline Cooperative 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>
        <v>3</v>
      </c>
      <c r="B4" s="219">
        <v>23</v>
      </c>
      <c r="C4" s="286" t="s">
        <v>918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2015-09-27T15:56:36Z</cp:lastPrinted>
  <dcterms:created xsi:type="dcterms:W3CDTF">1997-12-04T19:04:30Z</dcterms:created>
  <dcterms:modified xsi:type="dcterms:W3CDTF">2015-11-25T18:29:16Z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