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1895" windowHeight="44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3" i="1" l="1"/>
  <c r="F13" i="1"/>
  <c r="F472" i="1"/>
  <c r="H204" i="1"/>
  <c r="G531" i="1" l="1"/>
  <c r="G526" i="1"/>
  <c r="G521" i="1"/>
  <c r="H526" i="1"/>
  <c r="H521" i="1"/>
  <c r="C21" i="12"/>
  <c r="C20" i="12"/>
  <c r="C19" i="12"/>
  <c r="C12" i="12"/>
  <c r="C11" i="12"/>
  <c r="C10" i="12"/>
  <c r="B11" i="12"/>
  <c r="B12" i="12"/>
  <c r="F465" i="1" l="1"/>
  <c r="F29" i="1"/>
  <c r="F12" i="1"/>
  <c r="F9" i="1"/>
  <c r="H207" i="1" l="1"/>
  <c r="G203" i="1"/>
  <c r="H604" i="1"/>
  <c r="H208" i="1" l="1"/>
  <c r="H591" i="1"/>
  <c r="H592" i="1"/>
  <c r="I203" i="1"/>
  <c r="H203" i="1"/>
  <c r="I197" i="1"/>
  <c r="G282" i="1" l="1"/>
  <c r="H282" i="1" l="1"/>
  <c r="I276" i="1"/>
  <c r="J27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C111" i="2" s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I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90" i="1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F22" i="13" s="1"/>
  <c r="C22" i="13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7" i="10"/>
  <c r="C19" i="10"/>
  <c r="L250" i="1"/>
  <c r="L332" i="1"/>
  <c r="L254" i="1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8" i="2" s="1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G257" i="1" s="1"/>
  <c r="G271" i="1" s="1"/>
  <c r="H229" i="1"/>
  <c r="I229" i="1"/>
  <c r="J229" i="1"/>
  <c r="K229" i="1"/>
  <c r="K257" i="1" s="1"/>
  <c r="F247" i="1"/>
  <c r="G247" i="1"/>
  <c r="H247" i="1"/>
  <c r="I247" i="1"/>
  <c r="J247" i="1"/>
  <c r="K247" i="1"/>
  <c r="F256" i="1"/>
  <c r="G256" i="1"/>
  <c r="H256" i="1"/>
  <c r="I256" i="1"/>
  <c r="J256" i="1"/>
  <c r="J257" i="1" s="1"/>
  <c r="J271" i="1" s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G650" i="1"/>
  <c r="G651" i="1"/>
  <c r="G652" i="1"/>
  <c r="H652" i="1"/>
  <c r="G653" i="1"/>
  <c r="H653" i="1"/>
  <c r="G654" i="1"/>
  <c r="H654" i="1"/>
  <c r="H655" i="1"/>
  <c r="F192" i="1"/>
  <c r="G164" i="2"/>
  <c r="C26" i="10"/>
  <c r="L328" i="1"/>
  <c r="H660" i="1" s="1"/>
  <c r="L351" i="1"/>
  <c r="A31" i="12"/>
  <c r="A40" i="12"/>
  <c r="D12" i="13"/>
  <c r="C12" i="13" s="1"/>
  <c r="D62" i="2"/>
  <c r="D63" i="2" s="1"/>
  <c r="D18" i="13"/>
  <c r="C18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G157" i="2"/>
  <c r="F18" i="2"/>
  <c r="G161" i="2"/>
  <c r="E115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J571" i="1"/>
  <c r="K571" i="1"/>
  <c r="L433" i="1"/>
  <c r="I169" i="1"/>
  <c r="J644" i="1"/>
  <c r="J643" i="1"/>
  <c r="J476" i="1"/>
  <c r="H626" i="1" s="1"/>
  <c r="I476" i="1"/>
  <c r="H625" i="1" s="1"/>
  <c r="J625" i="1" s="1"/>
  <c r="G338" i="1"/>
  <c r="G352" i="1" s="1"/>
  <c r="J140" i="1"/>
  <c r="F571" i="1"/>
  <c r="K550" i="1"/>
  <c r="G22" i="2"/>
  <c r="J552" i="1"/>
  <c r="H552" i="1"/>
  <c r="C29" i="10"/>
  <c r="H140" i="1"/>
  <c r="L401" i="1"/>
  <c r="C139" i="2" s="1"/>
  <c r="L393" i="1"/>
  <c r="A13" i="12"/>
  <c r="J651" i="1"/>
  <c r="H571" i="1"/>
  <c r="L560" i="1"/>
  <c r="J545" i="1"/>
  <c r="F338" i="1"/>
  <c r="F352" i="1" s="1"/>
  <c r="G192" i="1"/>
  <c r="H192" i="1"/>
  <c r="F552" i="1"/>
  <c r="L309" i="1"/>
  <c r="D5" i="13"/>
  <c r="C5" i="13" s="1"/>
  <c r="E16" i="13"/>
  <c r="L570" i="1"/>
  <c r="I571" i="1"/>
  <c r="I545" i="1"/>
  <c r="J636" i="1"/>
  <c r="G36" i="2"/>
  <c r="L565" i="1"/>
  <c r="K551" i="1"/>
  <c r="C138" i="2"/>
  <c r="F476" i="1" l="1"/>
  <c r="H622" i="1" s="1"/>
  <c r="G545" i="1"/>
  <c r="H545" i="1"/>
  <c r="K549" i="1"/>
  <c r="K552" i="1" s="1"/>
  <c r="L529" i="1"/>
  <c r="L545" i="1" s="1"/>
  <c r="L614" i="1"/>
  <c r="E33" i="13"/>
  <c r="D35" i="13" s="1"/>
  <c r="L256" i="1"/>
  <c r="J622" i="1"/>
  <c r="I369" i="1"/>
  <c r="H634" i="1" s="1"/>
  <c r="J634" i="1" s="1"/>
  <c r="D29" i="13"/>
  <c r="C29" i="13" s="1"/>
  <c r="G645" i="1"/>
  <c r="J645" i="1" s="1"/>
  <c r="C25" i="10"/>
  <c r="H25" i="13"/>
  <c r="D15" i="13"/>
  <c r="C15" i="13" s="1"/>
  <c r="H647" i="1"/>
  <c r="C124" i="2"/>
  <c r="J647" i="1"/>
  <c r="L211" i="1"/>
  <c r="F660" i="1" s="1"/>
  <c r="F664" i="1" s="1"/>
  <c r="F672" i="1" s="1"/>
  <c r="C4" i="10" s="1"/>
  <c r="G649" i="1"/>
  <c r="J649" i="1" s="1"/>
  <c r="C21" i="10"/>
  <c r="D50" i="2"/>
  <c r="J640" i="1"/>
  <c r="H476" i="1"/>
  <c r="H624" i="1" s="1"/>
  <c r="J624" i="1" s="1"/>
  <c r="H661" i="1"/>
  <c r="D127" i="2"/>
  <c r="D128" i="2" s="1"/>
  <c r="D145" i="2" s="1"/>
  <c r="G661" i="1"/>
  <c r="I661" i="1"/>
  <c r="J655" i="1"/>
  <c r="K271" i="1"/>
  <c r="C81" i="2"/>
  <c r="H664" i="1"/>
  <c r="H667" i="1" s="1"/>
  <c r="F112" i="1"/>
  <c r="C62" i="2"/>
  <c r="C56" i="2"/>
  <c r="C63" i="2"/>
  <c r="H52" i="1"/>
  <c r="H619" i="1" s="1"/>
  <c r="J623" i="1"/>
  <c r="J617" i="1"/>
  <c r="C18" i="2"/>
  <c r="C10" i="10"/>
  <c r="H257" i="1"/>
  <c r="H271" i="1" s="1"/>
  <c r="C123" i="2"/>
  <c r="C16" i="10"/>
  <c r="C115" i="2"/>
  <c r="I257" i="1"/>
  <c r="I271" i="1" s="1"/>
  <c r="C20" i="10"/>
  <c r="C18" i="10"/>
  <c r="C15" i="10"/>
  <c r="C16" i="13"/>
  <c r="C121" i="2"/>
  <c r="C128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D31" i="13"/>
  <c r="C31" i="13" s="1"/>
  <c r="G104" i="2"/>
  <c r="C25" i="13"/>
  <c r="H33" i="13"/>
  <c r="H646" i="1"/>
  <c r="J646" i="1" s="1"/>
  <c r="F667" i="1"/>
  <c r="C28" i="10"/>
  <c r="D19" i="10" s="1"/>
  <c r="G672" i="1"/>
  <c r="C5" i="10" s="1"/>
  <c r="C145" i="2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5" i="10" l="1"/>
  <c r="D10" i="10"/>
  <c r="D24" i="10"/>
  <c r="D20" i="10"/>
  <c r="D17" i="10"/>
  <c r="D23" i="10"/>
  <c r="D18" i="10"/>
  <c r="C30" i="10"/>
  <c r="D27" i="10"/>
  <c r="D26" i="10"/>
  <c r="D21" i="10"/>
  <c r="D13" i="10"/>
  <c r="D11" i="10"/>
  <c r="D22" i="10"/>
  <c r="D12" i="10"/>
  <c r="D16" i="10"/>
  <c r="D25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<sst xmlns="http://schemas.openxmlformats.org/spreadsheetml/2006/main" count="3962" uniqueCount="918">
  <si>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</si>
  <si>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</si>
  <si>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</si>
  <si>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</si>
  <si>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</si>
  <si>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</si>
  <si>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</si>
  <si>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</si>
  <si>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</si>
  <si>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</si>
  <si>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</si>
  <si>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</si>
  <si>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</si>
  <si>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</si>
  <si>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</si>
  <si>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</si>
  <si>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</si>
  <si>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</si>
  <si>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</si>
  <si>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</si>
  <si>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</si>
  <si>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</si>
  <si>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</si>
  <si>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</si>
  <si>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</si>
  <si>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</si>
  <si>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</si>
  <si>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</si>
  <si>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</si>
  <si>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</si>
  <si>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</si>
  <si>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</si>
  <si>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</si>
  <si>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</si>
  <si>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</si>
  <si>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</si>
  <si>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</si>
  <si>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</si>
  <si>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</si>
  <si>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</si>
  <si>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</si>
  <si>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</si>
  <si>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</si>
  <si>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</si>
  <si>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</si>
  <si>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</si>
  <si>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</si>
  <si>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</si>
  <si>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</si>
  <si>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</si>
  <si>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</si>
  <si>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</si>
  <si>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</si>
  <si>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</si>
  <si>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</si>
  <si>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</si>
  <si>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</si>
  <si>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</si>
  <si>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</si>
  <si>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</si>
  <si>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</si>
  <si>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</si>
  <si>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</si>
  <si>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</si>
  <si>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</si>
  <si>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</si>
  <si>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</si>
  <si>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</si>
  <si>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</si>
  <si>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</si>
  <si>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</si>
  <si>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</si>
  <si>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</si>
  <si>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</si>
  <si>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</si>
  <si>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</si>
  <si>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</si>
  <si>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</si>
  <si>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</si>
  <si>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</si>
  <si>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</si>
  <si>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</si>
  <si>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</si>
  <si>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</si>
  <si>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</si>
  <si>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</si>
  <si>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</si>
  <si>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</si>
  <si>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</si>
  <si>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</si>
  <si>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</si>
  <si>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</si>
  <si>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</si>
  <si>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</si>
  <si>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</si>
  <si>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</si>
  <si>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</si>
  <si>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</si>
  <si>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</si>
  <si>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</si>
  <si>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</si>
  <si>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</si>
  <si>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</si>
  <si>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</si>
  <si>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</si>
  <si>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</si>
  <si>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</si>
  <si>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</si>
  <si>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</si>
  <si>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</si>
  <si>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</si>
  <si>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</si>
  <si>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</si>
  <si>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</si>
  <si>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</si>
  <si>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</si>
  <si>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</si>
  <si>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</si>
  <si>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</si>
  <si>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</si>
  <si>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</si>
  <si>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</si>
  <si>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</si>
  <si>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</si>
  <si>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</si>
  <si>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</si>
  <si>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</si>
  <si>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</si>
  <si>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</si>
  <si>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</si>
  <si>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</si>
  <si>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</si>
  <si>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</si>
  <si>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</si>
  <si>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</si>
  <si>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</si>
  <si>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</si>
  <si>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</si>
  <si>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</si>
  <si>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</si>
  <si>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</si>
  <si>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</si>
  <si>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</si>
  <si>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</si>
  <si>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</si>
  <si>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</si>
  <si>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</si>
  <si>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</si>
  <si>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</si>
  <si>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</si>
  <si>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</si>
  <si>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</si>
  <si>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</si>
  <si>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</si>
  <si>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</si>
  <si>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</si>
  <si>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</si>
  <si>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</si>
  <si>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</si>
  <si>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</si>
  <si>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</si>
  <si>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</si>
  <si>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</si>
  <si>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</si>
  <si>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</si>
  <si>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</si>
  <si>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</si>
  <si>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</si>
  <si>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</si>
  <si>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</si>
  <si>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</si>
  <si>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</si>
  <si>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</si>
  <si>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</si>
  <si>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</si>
  <si>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</si>
  <si>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</si>
  <si>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</si>
  <si>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</si>
  <si>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</si>
  <si>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</si>
  <si>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</si>
  <si>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</si>
  <si>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</si>
  <si>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</si>
  <si>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</si>
  <si>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</si>
  <si>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</si>
  <si>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</si>
  <si>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</si>
  <si>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</si>
  <si>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</si>
  <si>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</si>
  <si>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</si>
  <si>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</si>
  <si>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</si>
  <si>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</si>
  <si>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</si>
  <si>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</si>
  <si>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</si>
  <si>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</si>
  <si>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</si>
  <si>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</si>
  <si>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</si>
  <si>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</si>
  <si>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</si>
  <si>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</si>
  <si>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</si>
  <si>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</si>
  <si>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</si>
  <si>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</si>
  <si>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</si>
  <si>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</si>
  <si>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</si>
  <si>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</si>
  <si>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</si>
  <si>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</si>
  <si>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</si>
  <si>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</si>
  <si>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</si>
  <si>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</si>
  <si>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</si>
  <si>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</si>
  <si>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</si>
  <si>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</si>
  <si>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</si>
  <si>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</si>
  <si>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</si>
  <si>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</si>
  <si>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</si>
  <si>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</si>
  <si>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</si>
  <si>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</si>
  <si>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</si>
  <si>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</si>
  <si>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</si>
  <si>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</si>
  <si>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</si>
  <si>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</si>
  <si>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</si>
  <si>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</si>
  <si>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</si>
  <si>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</si>
  <si>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</si>
  <si>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</si>
  <si>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</si>
  <si>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</si>
  <si>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</si>
  <si>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</si>
  <si>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</si>
  <si>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</si>
  <si>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</si>
  <si>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</si>
  <si>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</si>
  <si>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</si>
  <si>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</si>
  <si>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</si>
  <si>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</si>
  <si>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</si>
  <si>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</si>
  <si>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</si>
  <si>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</si>
  <si>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</si>
  <si>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</si>
  <si>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</si>
  <si>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</si>
  <si>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</si>
  <si>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</si>
  <si>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</si>
  <si>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</si>
  <si>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</si>
  <si>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</si>
  <si>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</si>
  <si>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</si>
  <si>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</si>
  <si>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</si>
  <si>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</si>
  <si>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</si>
  <si>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</si>
  <si>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</si>
  <si>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</si>
  <si>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</si>
  <si>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</si>
  <si>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</si>
  <si>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</si>
  <si>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</si>
  <si>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</si>
  <si>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</si>
  <si>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</si>
  <si>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</si>
  <si>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</si>
  <si>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</si>
  <si>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</si>
  <si>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</si>
  <si>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</si>
  <si>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</si>
  <si>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</si>
  <si>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</si>
  <si>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</si>
  <si>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</si>
  <si>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</si>
  <si>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</si>
  <si>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</si>
  <si>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</si>
  <si>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</si>
  <si>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</si>
  <si>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</si>
  <si>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</si>
  <si>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</si>
  <si>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</si>
  <si>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</si>
  <si>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</si>
  <si>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</si>
  <si>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</si>
  <si>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</si>
  <si>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</si>
  <si>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</si>
  <si>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</si>
  <si>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</si>
  <si>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</si>
  <si>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</si>
  <si>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</si>
  <si>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</si>
  <si>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</si>
  <si>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</si>
  <si>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</si>
  <si>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</si>
  <si>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</si>
  <si>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</si>
  <si>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</si>
  <si>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</si>
  <si>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</si>
  <si>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</si>
  <si>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</si>
  <si>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</si>
  <si>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</si>
  <si>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</si>
  <si>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</si>
  <si>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</si>
  <si>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</si>
  <si>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</si>
  <si>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</si>
  <si>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</si>
  <si>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</si>
  <si>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</si>
  <si>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</si>
  <si>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</si>
  <si>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</si>
  <si>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</si>
  <si>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</si>
  <si>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</si>
  <si>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</si>
  <si>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</si>
  <si>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</si>
  <si>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</si>
  <si>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</si>
  <si>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</si>
  <si>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</si>
  <si>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</si>
  <si>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</si>
  <si>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</si>
  <si>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</si>
  <si>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</si>
  <si>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</si>
  <si>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</si>
  <si>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</si>
  <si>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</si>
  <si>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</si>
  <si>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</si>
  <si>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</si>
  <si>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</si>
  <si>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</si>
  <si>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</si>
  <si>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</si>
  <si>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</si>
  <si>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</si>
  <si>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</si>
  <si>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</si>
  <si>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</si>
  <si>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</si>
  <si>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</si>
  <si>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</si>
  <si>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</si>
  <si>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</si>
  <si>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</si>
  <si>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</si>
  <si>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</si>
  <si>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</si>
  <si>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</si>
  <si>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</si>
  <si>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</si>
  <si>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</si>
  <si>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</si>
  <si>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</si>
  <si>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</si>
  <si>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</si>
  <si>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</si>
  <si>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</si>
  <si>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</si>
  <si>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</si>
  <si>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</si>
  <si>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</si>
  <si>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</si>
  <si>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</si>
  <si>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</si>
  <si>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</si>
  <si>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</si>
  <si>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</si>
  <si>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</si>
  <si>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</si>
  <si>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</si>
  <si>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</si>
  <si>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</si>
  <si>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</si>
  <si>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</si>
  <si>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</si>
  <si>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</si>
  <si>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</si>
  <si>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</si>
  <si>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</si>
  <si>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</si>
  <si>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</si>
  <si>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</si>
  <si>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</si>
  <si>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</si>
  <si>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</si>
  <si>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</si>
  <si>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</si>
  <si>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</si>
  <si>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</si>
  <si>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</si>
  <si>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</si>
  <si>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</si>
  <si>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</si>
  <si>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</si>
  <si>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</si>
  <si>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</si>
  <si>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</si>
  <si>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</si>
  <si>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</si>
  <si>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</si>
  <si>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</si>
  <si>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</si>
  <si>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</si>
  <si>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</si>
  <si>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</si>
  <si>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</si>
  <si>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</si>
  <si>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</si>
  <si>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</si>
  <si>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</si>
  <si>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</si>
  <si>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</si>
  <si>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</si>
  <si>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</si>
  <si>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</si>
  <si>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</si>
  <si>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</si>
  <si>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</si>
  <si>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</si>
  <si>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</si>
  <si>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</si>
  <si>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</si>
  <si>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</si>
  <si>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</si>
  <si>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</si>
  <si>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</si>
  <si>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</si>
  <si>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</si>
  <si>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</si>
  <si>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</si>
  <si>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</si>
  <si>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</si>
  <si>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</si>
  <si>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</si>
  <si>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</si>
  <si>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</si>
  <si>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</si>
  <si>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</si>
  <si>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</si>
  <si>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</si>
  <si>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</si>
  <si>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</si>
  <si>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</si>
  <si>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</si>
  <si>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</si>
  <si>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</si>
  <si>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</si>
  <si>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</si>
  <si>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</si>
  <si>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</si>
  <si>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</si>
  <si>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</si>
  <si>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</si>
  <si>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</si>
  <si>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</si>
  <si>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</si>
  <si>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</si>
  <si>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</si>
  <si>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</si>
  <si>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</si>
  <si>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</si>
  <si>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</si>
  <si>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</si>
  <si>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</si>
  <si>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</si>
  <si>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</si>
  <si>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</si>
  <si>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</si>
  <si>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</si>
  <si>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</si>
  <si>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</si>
  <si>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</si>
  <si>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</si>
  <si>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</si>
  <si>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</si>
  <si>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</si>
  <si>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</si>
  <si>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</si>
  <si>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</si>
  <si>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</si>
  <si>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</si>
  <si>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</si>
  <si>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</si>
  <si>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</si>
  <si>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</si>
  <si>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</si>
  <si>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</si>
  <si>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</si>
  <si>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</si>
  <si>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</si>
  <si>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</si>
  <si>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</si>
  <si>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</si>
  <si>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</si>
  <si>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</si>
  <si>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</si>
  <si>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</si>
  <si>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</si>
  <si>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</si>
  <si>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</si>
  <si>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</si>
  <si>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</si>
  <si>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</si>
  <si>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</si>
  <si>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</si>
  <si>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</si>
  <si>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</si>
  <si>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</si>
  <si>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</si>
  <si>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</si>
  <si>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</si>
  <si>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</si>
  <si>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</si>
  <si>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</si>
  <si>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</si>
  <si>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</si>
  <si>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</si>
  <si>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</si>
  <si>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</si>
  <si>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</si>
  <si>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</si>
  <si>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</si>
  <si>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</si>
  <si>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</si>
  <si>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</si>
  <si>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</si>
  <si>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</si>
  <si>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</si>
  <si>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</si>
  <si>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</si>
  <si>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</si>
  <si>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</si>
  <si>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</si>
  <si>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</si>
  <si>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</si>
  <si>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</si>
  <si>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</si>
  <si>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</si>
  <si>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</si>
  <si>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</si>
  <si>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</si>
  <si>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</si>
  <si>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</si>
  <si>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</si>
  <si>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</si>
  <si>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</si>
  <si>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</si>
  <si>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</si>
  <si>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</si>
  <si>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</si>
  <si>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</si>
  <si>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</si>
  <si>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</si>
  <si>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</si>
  <si>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</si>
  <si>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</si>
  <si>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</si>
  <si>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</si>
  <si>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</si>
  <si>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</si>
  <si>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</si>
  <si>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</si>
  <si>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</si>
  <si>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</si>
  <si>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</si>
  <si>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</si>
  <si>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</si>
  <si>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</si>
  <si>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</si>
  <si>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</si>
  <si>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</si>
  <si>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</si>
  <si>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</si>
  <si>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</si>
  <si>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</si>
  <si>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</si>
  <si>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</si>
  <si>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</si>
  <si>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</si>
  <si>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</si>
  <si>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</si>
  <si>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</si>
  <si>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</si>
  <si>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</si>
  <si>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</si>
  <si>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</si>
  <si>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</si>
  <si>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</si>
  <si>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</si>
  <si>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</si>
  <si>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</si>
  <si>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</si>
  <si>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</si>
  <si>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</si>
  <si>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</si>
  <si>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</si>
  <si>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</si>
  <si>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</si>
  <si>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</si>
  <si>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</si>
  <si>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</si>
  <si>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</si>
  <si>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</si>
  <si>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</si>
  <si>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</si>
  <si>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</si>
  <si>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</si>
  <si>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</si>
  <si>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</si>
  <si>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</si>
  <si>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</si>
  <si>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</si>
  <si>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</si>
  <si>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</si>
  <si>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</si>
  <si>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</si>
  <si>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</si>
  <si>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</si>
  <si>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</si>
  <si>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</si>
  <si>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</si>
  <si>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</si>
  <si>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</si>
  <si>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</si>
  <si>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</si>
  <si>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</si>
  <si>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</si>
  <si>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</si>
  <si>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</si>
  <si>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</si>
  <si>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</si>
  <si>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</si>
  <si>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</si>
  <si>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</si>
  <si>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</si>
  <si>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</si>
  <si>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</si>
  <si>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</si>
  <si>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</si>
  <si>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</si>
  <si>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</si>
  <si>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</si>
  <si>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</si>
  <si>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</si>
  <si>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</si>
  <si>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</si>
  <si>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</si>
  <si>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</si>
  <si>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</si>
  <si>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</si>
  <si>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</si>
  <si>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</si>
  <si>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</si>
  <si>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</si>
  <si>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</si>
  <si>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</si>
  <si>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</si>
  <si>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</si>
  <si>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</si>
  <si>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</si>
  <si>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</si>
  <si>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</si>
  <si>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</si>
  <si>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</si>
  <si>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</si>
  <si>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</si>
  <si>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</si>
  <si>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</si>
  <si>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</si>
  <si>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</si>
  <si>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</si>
  <si>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</si>
  <si>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</si>
  <si>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</si>
  <si>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</si>
  <si>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</si>
  <si>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</si>
  <si>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</si>
  <si>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</si>
  <si>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</si>
  <si>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</si>
  <si>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</si>
  <si>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</si>
  <si>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</si>
  <si>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</si>
  <si>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</si>
  <si>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</si>
  <si>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</si>
  <si>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</si>
  <si>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</si>
  <si>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</si>
  <si>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</si>
  <si>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</si>
  <si>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</si>
  <si>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</si>
  <si>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</si>
  <si>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</si>
  <si>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</si>
  <si>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</si>
  <si>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</si>
  <si>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</si>
  <si>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</si>
  <si>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</si>
  <si>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</si>
  <si>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</si>
  <si>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</si>
  <si>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</si>
  <si>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</si>
  <si>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</si>
  <si>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</si>
  <si>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</si>
  <si>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</si>
  <si>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</si>
  <si>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</si>
  <si>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</si>
  <si>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</si>
  <si>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</si>
  <si>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</si>
  <si>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</si>
  <si>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</si>
  <si>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</si>
  <si>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</si>
  <si>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</si>
  <si>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</si>
  <si>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</si>
  <si>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</si>
  <si>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</si>
  <si>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</si>
  <si>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</si>
  <si>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</si>
  <si>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</si>
  <si>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</si>
  <si>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</si>
  <si>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</si>
  <si>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</si>
  <si>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</si>
  <si>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</si>
  <si>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</si>
  <si>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</si>
  <si>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</si>
  <si>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</si>
  <si>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</si>
  <si>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</si>
  <si>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</si>
  <si>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</si>
  <si>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</si>
  <si>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</si>
  <si>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</si>
  <si>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</si>
  <si>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</si>
  <si>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</si>
  <si>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</si>
  <si>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</si>
  <si>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</si>
  <si>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</si>
  <si>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</si>
  <si>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</si>
  <si>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</si>
  <si>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</si>
  <si>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</si>
  <si>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</si>
  <si>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</si>
  <si>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</si>
  <si>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</si>
  <si>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</si>
  <si>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</si>
  <si>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</si>
  <si>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</si>
  <si>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</si>
  <si>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</si>
  <si>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</si>
  <si>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</si>
  <si>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</si>
  <si>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</si>
  <si>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</si>
  <si>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</si>
  <si>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</si>
  <si>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</si>
  <si>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</si>
  <si>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</si>
  <si>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</si>
  <si>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</si>
  <si>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</si>
  <si>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</si>
  <si>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</si>
  <si>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</si>
  <si>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</si>
  <si>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</si>
  <si>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</si>
  <si>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</si>
  <si>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</si>
  <si>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</si>
  <si>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</si>
  <si>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</si>
  <si>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</si>
  <si>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</si>
  <si>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</si>
  <si>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</si>
  <si>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</si>
  <si>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</si>
  <si>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</si>
  <si>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</si>
  <si>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</si>
  <si>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</si>
  <si>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</si>
  <si>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</si>
  <si>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</si>
  <si>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</si>
  <si>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</si>
  <si>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</si>
  <si>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</si>
  <si>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</si>
  <si>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</si>
  <si>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</si>
  <si>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</si>
  <si>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</si>
  <si>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</si>
  <si>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</si>
  <si>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</si>
  <si>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</si>
  <si>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</si>
  <si>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</si>
  <si>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</si>
  <si>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</si>
  <si>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</si>
  <si>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</si>
  <si>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</si>
  <si>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</si>
  <si>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</si>
  <si>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</si>
  <si>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</si>
  <si>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</si>
  <si>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</si>
  <si>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</si>
  <si>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</si>
  <si>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</si>
  <si>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</si>
  <si>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</si>
  <si>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</si>
  <si>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</si>
  <si>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</si>
  <si>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</si>
  <si>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</si>
  <si>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</si>
  <si>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</si>
  <si>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</si>
  <si>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</si>
  <si>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</si>
  <si>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</si>
  <si>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</si>
  <si>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</si>
  <si>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</si>
  <si>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</si>
  <si>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</si>
  <si>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</si>
  <si>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</si>
  <si>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</si>
  <si>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</si>
  <si>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</si>
  <si>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</si>
  <si>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</si>
  <si>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</si>
  <si>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</si>
  <si>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</si>
  <si>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</si>
  <si>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</si>
  <si>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</si>
  <si>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</si>
  <si>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</si>
  <si>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</si>
  <si>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Hollis</t>
  </si>
  <si>
    <t>08/94</t>
  </si>
  <si>
    <t>08/14</t>
  </si>
  <si>
    <t>VAR</t>
  </si>
  <si>
    <t>LGC Contribution Return $65,792.91</t>
  </si>
  <si>
    <t>State approved use of retained fund balance for boiler replacement</t>
  </si>
  <si>
    <t>State approved use of retain fund balance for boiler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</si>
</sst>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94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259</v>
      </c>
      <c r="C2" s="21">
        <v>259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332857.56+450</f>
        <v>333307.56</v>
      </c>
      <c r="G9" s="18">
        <v>14087.29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468.79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765275.73+54714.09</f>
        <v>819989.82</v>
      </c>
      <c r="G12" s="18">
        <v>18155.54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1751.32</f>
        <v>1751.32</v>
      </c>
      <c r="G13" s="18">
        <v>4402.82</v>
      </c>
      <c r="H13" s="18">
        <v>126524.47</v>
      </c>
      <c r="I13" s="18"/>
      <c r="J13" s="67">
        <f>SUM(I442)</f>
        <v>208425.91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5383.9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7533.63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13288.62</v>
      </c>
      <c r="G17" s="18"/>
      <c r="H17" s="18">
        <v>1730.67</v>
      </c>
      <c r="I17" s="18"/>
      <c r="J17" s="67">
        <f>SUM(I444)</f>
        <v>1500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-1455.71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1172734.3</v>
      </c>
      <c r="G19" s="41">
        <f>SUM(G9:G18)</f>
        <v>44179.28</v>
      </c>
      <c r="H19" s="41">
        <f>SUM(H9:H18)</f>
        <v>128255.14</v>
      </c>
      <c r="I19" s="41">
        <f>SUM(I9:I18)</f>
        <v>0</v>
      </c>
      <c r="J19" s="41">
        <f>SUM(J9:J18)</f>
        <v>209925.91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631364.77</v>
      </c>
      <c r="G22" s="18"/>
      <c r="H22" s="18">
        <v>124484.58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6116.66-2902</f>
        <v>3214.66</v>
      </c>
      <c r="G23" s="18"/>
      <c r="H23" s="18">
        <v>3770.56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43326.89</v>
      </c>
      <c r="G24" s="18">
        <v>2680.86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58877.59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4465.65+5602.06</f>
        <v>10067.709999999999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240</v>
      </c>
      <c r="G30" s="18">
        <v>14420.84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747091.62</v>
      </c>
      <c r="G32" s="41">
        <f>SUM(G22:G31)</f>
        <v>17101.7</v>
      </c>
      <c r="H32" s="41">
        <f>SUM(H22:H31)</f>
        <v>128255.14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7533.63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13288.62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17013.95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151787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209925.91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23033.360000000001</v>
      </c>
      <c r="G49" s="18">
        <v>2530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122533.7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425642.68</v>
      </c>
      <c r="G51" s="41">
        <f>SUM(G35:G50)</f>
        <v>27077.58</v>
      </c>
      <c r="H51" s="41">
        <f>SUM(H35:H50)</f>
        <v>0</v>
      </c>
      <c r="I51" s="41">
        <f>SUM(I35:I50)</f>
        <v>0</v>
      </c>
      <c r="J51" s="41">
        <f>SUM(J35:J50)</f>
        <v>209925.91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1172734.3</v>
      </c>
      <c r="G52" s="41">
        <f>G51+G32</f>
        <v>44179.28</v>
      </c>
      <c r="H52" s="41">
        <f>H51+H32</f>
        <v>128255.14</v>
      </c>
      <c r="I52" s="41">
        <f>I51+I32</f>
        <v>0</v>
      </c>
      <c r="J52" s="41">
        <f>J51+J32</f>
        <v>209925.91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7991854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7991854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19230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19230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3342.14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175723.71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8000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65792.91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77135.05</v>
      </c>
      <c r="G111" s="41">
        <f>SUM(G96:G110)</f>
        <v>175723.71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8088219.0499999998</v>
      </c>
      <c r="G112" s="41">
        <f>G60+G111</f>
        <v>175723.71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879324.82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1391243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2270567.8199999998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49851.41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97736.01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2587.8000000000002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147587.41999999998</v>
      </c>
      <c r="G136" s="41">
        <f>SUM(G123:G135)</f>
        <v>2587.8000000000002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2418155.2399999998</v>
      </c>
      <c r="G140" s="41">
        <f>G121+SUM(G136:G137)</f>
        <v>2587.8000000000002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10921.79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10921.79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10380.65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25107.87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23004.25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125401.54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46644.15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46644.15</v>
      </c>
      <c r="G162" s="41">
        <f>SUM(G150:G161)</f>
        <v>23004.25</v>
      </c>
      <c r="H162" s="41">
        <f>SUM(H150:H161)</f>
        <v>160890.06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46644.15</v>
      </c>
      <c r="G169" s="41">
        <f>G147+G162+SUM(G163:G168)</f>
        <v>33926.04</v>
      </c>
      <c r="H169" s="41">
        <f>H147+H162+SUM(H163:H168)</f>
        <v>160890.06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192.18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192.18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192.18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10553210.619999999</v>
      </c>
      <c r="G193" s="47">
        <f>G112+G140+G169+G192</f>
        <v>212237.55</v>
      </c>
      <c r="H193" s="47">
        <f>H112+H140+H169+H192</f>
        <v>160890.06</v>
      </c>
      <c r="I193" s="47">
        <f>I112+I140+I169+I192</f>
        <v>0</v>
      </c>
      <c r="J193" s="47">
        <f>J112+J140+J192</f>
        <v>20000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3121712.35</v>
      </c>
      <c r="G197" s="18">
        <v>1111078.55</v>
      </c>
      <c r="H197" s="18">
        <v>907.99</v>
      </c>
      <c r="I197" s="18">
        <f>995+87041.34</f>
        <v>88036.34</v>
      </c>
      <c r="J197" s="18">
        <v>8019.57</v>
      </c>
      <c r="K197" s="18">
        <v>2588.21</v>
      </c>
      <c r="L197" s="19">
        <f>SUM(F197:K197)</f>
        <v>4332343.0100000007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1090607.53</v>
      </c>
      <c r="G198" s="18">
        <v>388168.58</v>
      </c>
      <c r="H198" s="18">
        <v>162218.38</v>
      </c>
      <c r="I198" s="18">
        <v>11827.19</v>
      </c>
      <c r="J198" s="18">
        <v>1601.83</v>
      </c>
      <c r="K198" s="18">
        <v>390</v>
      </c>
      <c r="L198" s="19">
        <f>SUM(F198:K198)</f>
        <v>1654813.5100000002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597352.81000000006</v>
      </c>
      <c r="G202" s="18">
        <v>212609.56</v>
      </c>
      <c r="H202" s="18">
        <v>197107.73</v>
      </c>
      <c r="I202" s="18">
        <v>12487.66</v>
      </c>
      <c r="J202" s="18">
        <v>604.9</v>
      </c>
      <c r="K202" s="18">
        <v>270</v>
      </c>
      <c r="L202" s="19">
        <f t="shared" ref="L202:L208" si="0">SUM(F202:K202)</f>
        <v>1020432.6600000001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203864.69</v>
      </c>
      <c r="G203" s="18">
        <f>42059.46+72559.44</f>
        <v>114618.9</v>
      </c>
      <c r="H203" s="18">
        <f>8934.92+580.9</f>
        <v>9515.82</v>
      </c>
      <c r="I203" s="18">
        <f>626.07+12767.11</f>
        <v>13393.18</v>
      </c>
      <c r="J203" s="18">
        <v>18964.39</v>
      </c>
      <c r="K203" s="18">
        <v>0</v>
      </c>
      <c r="L203" s="19">
        <f t="shared" si="0"/>
        <v>360356.98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0</v>
      </c>
      <c r="G204" s="18">
        <v>0</v>
      </c>
      <c r="H204" s="18">
        <f>623412.37+50000-2902</f>
        <v>670510.37</v>
      </c>
      <c r="I204" s="18">
        <v>4899.16</v>
      </c>
      <c r="J204" s="18">
        <v>0</v>
      </c>
      <c r="K204" s="18">
        <v>750</v>
      </c>
      <c r="L204" s="19">
        <f t="shared" si="0"/>
        <v>676159.53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406534.21</v>
      </c>
      <c r="G205" s="18">
        <v>144693.49</v>
      </c>
      <c r="H205" s="18">
        <v>65551.08</v>
      </c>
      <c r="I205" s="18">
        <v>43580.51</v>
      </c>
      <c r="J205" s="18">
        <v>500</v>
      </c>
      <c r="K205" s="18">
        <v>2250</v>
      </c>
      <c r="L205" s="19">
        <f t="shared" si="0"/>
        <v>663109.28999999992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310753.95</v>
      </c>
      <c r="G207" s="18">
        <v>110603.4</v>
      </c>
      <c r="H207" s="18">
        <f>6102.74+282100.06</f>
        <v>288202.8</v>
      </c>
      <c r="I207" s="18">
        <v>271850.45</v>
      </c>
      <c r="J207" s="18">
        <v>6151.84</v>
      </c>
      <c r="K207" s="18">
        <v>0</v>
      </c>
      <c r="L207" s="19">
        <f t="shared" si="0"/>
        <v>987562.43999999983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56506.84+3990+12849.41+15005.61+246111.57</f>
        <v>334463.43</v>
      </c>
      <c r="I208" s="18">
        <v>54275.34</v>
      </c>
      <c r="J208" s="18">
        <v>0</v>
      </c>
      <c r="K208" s="18">
        <v>0</v>
      </c>
      <c r="L208" s="19">
        <f t="shared" si="0"/>
        <v>388738.77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5730825.54</v>
      </c>
      <c r="G211" s="41">
        <f t="shared" si="1"/>
        <v>2081772.48</v>
      </c>
      <c r="H211" s="41">
        <f t="shared" si="1"/>
        <v>1728477.6</v>
      </c>
      <c r="I211" s="41">
        <f t="shared" si="1"/>
        <v>500349.82999999996</v>
      </c>
      <c r="J211" s="41">
        <f t="shared" si="1"/>
        <v>35842.53</v>
      </c>
      <c r="K211" s="41">
        <f t="shared" si="1"/>
        <v>6248.21</v>
      </c>
      <c r="L211" s="41">
        <f t="shared" si="1"/>
        <v>10083516.190000001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18745</v>
      </c>
      <c r="K255" s="18"/>
      <c r="L255" s="19">
        <f t="shared" si="6"/>
        <v>18745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18745</v>
      </c>
      <c r="K256" s="41">
        <f t="shared" si="7"/>
        <v>0</v>
      </c>
      <c r="L256" s="41">
        <f>SUM(F256:K256)</f>
        <v>18745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5730825.54</v>
      </c>
      <c r="G257" s="41">
        <f t="shared" si="8"/>
        <v>2081772.48</v>
      </c>
      <c r="H257" s="41">
        <f t="shared" si="8"/>
        <v>1728477.6</v>
      </c>
      <c r="I257" s="41">
        <f t="shared" si="8"/>
        <v>500349.82999999996</v>
      </c>
      <c r="J257" s="41">
        <f t="shared" si="8"/>
        <v>54587.53</v>
      </c>
      <c r="K257" s="41">
        <f t="shared" si="8"/>
        <v>6248.21</v>
      </c>
      <c r="L257" s="41">
        <f t="shared" si="8"/>
        <v>10102261.190000001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160057.5</v>
      </c>
      <c r="L260" s="19">
        <f>SUM(F260:K260)</f>
        <v>160057.5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202851.88</v>
      </c>
      <c r="L261" s="19">
        <f>SUM(F261:K261)</f>
        <v>202851.88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382909.38</v>
      </c>
      <c r="L270" s="41">
        <f t="shared" si="9"/>
        <v>382909.38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5730825.54</v>
      </c>
      <c r="G271" s="42">
        <f t="shared" si="11"/>
        <v>2081772.48</v>
      </c>
      <c r="H271" s="42">
        <f t="shared" si="11"/>
        <v>1728477.6</v>
      </c>
      <c r="I271" s="42">
        <f t="shared" si="11"/>
        <v>500349.82999999996</v>
      </c>
      <c r="J271" s="42">
        <f t="shared" si="11"/>
        <v>54587.53</v>
      </c>
      <c r="K271" s="42">
        <f t="shared" si="11"/>
        <v>389157.59</v>
      </c>
      <c r="L271" s="42">
        <f t="shared" si="11"/>
        <v>10485170.570000002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6630</v>
      </c>
      <c r="G276" s="18">
        <v>507.2</v>
      </c>
      <c r="H276" s="18"/>
      <c r="I276" s="18">
        <f>1434.42+1576.03+233</f>
        <v>3243.45</v>
      </c>
      <c r="J276" s="18">
        <f>12263.98+2079.75</f>
        <v>14343.73</v>
      </c>
      <c r="K276" s="18"/>
      <c r="L276" s="19">
        <f>SUM(F276:K276)</f>
        <v>24724.379999999997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114289.71</v>
      </c>
      <c r="G277" s="18">
        <v>5733.19</v>
      </c>
      <c r="H277" s="18">
        <v>1166.56</v>
      </c>
      <c r="I277" s="18">
        <v>441.52</v>
      </c>
      <c r="J277" s="18"/>
      <c r="K277" s="18"/>
      <c r="L277" s="19">
        <f>SUM(F277:K277)</f>
        <v>121630.98000000001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f>4496.26+2910</f>
        <v>7406.26</v>
      </c>
      <c r="H282" s="18">
        <f>734.95+372.93+250+2000</f>
        <v>3357.88</v>
      </c>
      <c r="I282" s="18"/>
      <c r="J282" s="18"/>
      <c r="K282" s="18"/>
      <c r="L282" s="19">
        <f t="shared" si="12"/>
        <v>10764.14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3770.56</v>
      </c>
      <c r="L283" s="19">
        <f t="shared" si="12"/>
        <v>3770.56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120919.71</v>
      </c>
      <c r="G290" s="42">
        <f t="shared" si="13"/>
        <v>13646.65</v>
      </c>
      <c r="H290" s="42">
        <f t="shared" si="13"/>
        <v>4524.4400000000005</v>
      </c>
      <c r="I290" s="42">
        <f t="shared" si="13"/>
        <v>3684.97</v>
      </c>
      <c r="J290" s="42">
        <f t="shared" si="13"/>
        <v>14343.73</v>
      </c>
      <c r="K290" s="42">
        <f t="shared" si="13"/>
        <v>3770.56</v>
      </c>
      <c r="L290" s="41">
        <f t="shared" si="13"/>
        <v>160890.06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120919.71</v>
      </c>
      <c r="G338" s="41">
        <f t="shared" si="20"/>
        <v>13646.65</v>
      </c>
      <c r="H338" s="41">
        <f t="shared" si="20"/>
        <v>4524.4400000000005</v>
      </c>
      <c r="I338" s="41">
        <f t="shared" si="20"/>
        <v>3684.97</v>
      </c>
      <c r="J338" s="41">
        <f t="shared" si="20"/>
        <v>14343.73</v>
      </c>
      <c r="K338" s="41">
        <f t="shared" si="20"/>
        <v>3770.56</v>
      </c>
      <c r="L338" s="41">
        <f t="shared" si="20"/>
        <v>160890.06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120919.71</v>
      </c>
      <c r="G352" s="41">
        <f>G338</f>
        <v>13646.65</v>
      </c>
      <c r="H352" s="41">
        <f>H338</f>
        <v>4524.4400000000005</v>
      </c>
      <c r="I352" s="41">
        <f>I338</f>
        <v>3684.97</v>
      </c>
      <c r="J352" s="41">
        <f>J338</f>
        <v>14343.73</v>
      </c>
      <c r="K352" s="47">
        <f>K338+K351</f>
        <v>3770.56</v>
      </c>
      <c r="L352" s="41">
        <f>L338+L351</f>
        <v>160890.06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97504.23</v>
      </c>
      <c r="G358" s="18"/>
      <c r="H358" s="18">
        <v>4146.71</v>
      </c>
      <c r="I358" s="18">
        <v>99694.32</v>
      </c>
      <c r="J358" s="18">
        <v>5400</v>
      </c>
      <c r="K358" s="18"/>
      <c r="L358" s="13">
        <f>SUM(F358:K358)</f>
        <v>206745.26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97504.23</v>
      </c>
      <c r="G362" s="47">
        <f t="shared" si="22"/>
        <v>0</v>
      </c>
      <c r="H362" s="47">
        <f t="shared" si="22"/>
        <v>4146.71</v>
      </c>
      <c r="I362" s="47">
        <f t="shared" si="22"/>
        <v>99694.32</v>
      </c>
      <c r="J362" s="47">
        <f t="shared" si="22"/>
        <v>5400</v>
      </c>
      <c r="K362" s="47">
        <f t="shared" si="22"/>
        <v>0</v>
      </c>
      <c r="L362" s="47">
        <f t="shared" si="22"/>
        <v>206745.26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90882.72</v>
      </c>
      <c r="G367" s="18"/>
      <c r="H367" s="18"/>
      <c r="I367" s="56">
        <f>SUM(F367:H367)</f>
        <v>90882.72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8811.6</v>
      </c>
      <c r="G368" s="63"/>
      <c r="H368" s="63"/>
      <c r="I368" s="56">
        <f>SUM(F368:H368)</f>
        <v>8811.6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99694.32</v>
      </c>
      <c r="G369" s="47">
        <f>SUM(G367:G368)</f>
        <v>0</v>
      </c>
      <c r="H369" s="47">
        <f>SUM(H367:H368)</f>
        <v>0</v>
      </c>
      <c r="I369" s="47">
        <f>SUM(I367:I368)</f>
        <v>99694.32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20000</v>
      </c>
      <c r="H400" s="18"/>
      <c r="I400" s="18"/>
      <c r="J400" s="24" t="s">
        <v>289</v>
      </c>
      <c r="K400" s="24" t="s">
        <v>289</v>
      </c>
      <c r="L400" s="56">
        <f t="shared" si="26"/>
        <v>20000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9243</v>
      </c>
      <c r="L418" s="56">
        <f t="shared" si="27"/>
        <v>9243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9243</v>
      </c>
      <c r="L419" s="47">
        <f t="shared" si="28"/>
        <v>9243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9243</v>
      </c>
      <c r="L434" s="47">
        <f t="shared" si="32"/>
        <v>9243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208425.91</v>
      </c>
      <c r="H442" s="18"/>
      <c r="I442" s="56">
        <f t="shared" si="33"/>
        <v>208425.91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1500</v>
      </c>
      <c r="H444" s="18"/>
      <c r="I444" s="56">
        <f t="shared" si="33"/>
        <v>1500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209925.91</v>
      </c>
      <c r="H446" s="13">
        <f>SUM(H439:H445)</f>
        <v>0</v>
      </c>
      <c r="I446" s="13">
        <f>SUM(I439:I445)</f>
        <v>209925.91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209925.91</v>
      </c>
      <c r="H459" s="18"/>
      <c r="I459" s="56">
        <f t="shared" si="34"/>
        <v>209925.91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209925.91</v>
      </c>
      <c r="H460" s="83">
        <f>SUM(H454:H459)</f>
        <v>0</v>
      </c>
      <c r="I460" s="83">
        <f>SUM(I454:I459)</f>
        <v>209925.91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209925.91</v>
      </c>
      <c r="H461" s="42">
        <f>H452+H460</f>
        <v>0</v>
      </c>
      <c r="I461" s="42">
        <f>I452+I460</f>
        <v>209925.91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380314.63-12000-10712</f>
        <v>357602.63</v>
      </c>
      <c r="G465" s="18">
        <v>21585.29</v>
      </c>
      <c r="H465" s="18"/>
      <c r="I465" s="18"/>
      <c r="J465" s="18">
        <v>199168.91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10553210.619999999</v>
      </c>
      <c r="G468" s="18">
        <v>212237.55</v>
      </c>
      <c r="H468" s="18">
        <v>160890.06</v>
      </c>
      <c r="I468" s="18"/>
      <c r="J468" s="18">
        <v>20000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18745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10571955.619999999</v>
      </c>
      <c r="G470" s="53">
        <f>SUM(G468:G469)</f>
        <v>212237.55</v>
      </c>
      <c r="H470" s="53">
        <f>SUM(H468:H469)</f>
        <v>160890.06</v>
      </c>
      <c r="I470" s="53">
        <f>SUM(I468:I469)</f>
        <v>0</v>
      </c>
      <c r="J470" s="53">
        <f>SUM(J468:J469)</f>
        <v>20000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10488072.57-2902</f>
        <v>10485170.57</v>
      </c>
      <c r="G472" s="18">
        <v>206745.26</v>
      </c>
      <c r="H472" s="18">
        <v>160890.06</v>
      </c>
      <c r="I472" s="18"/>
      <c r="J472" s="18">
        <v>9243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18745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10503915.57</v>
      </c>
      <c r="G474" s="53">
        <f>SUM(G472:G473)</f>
        <v>206745.26</v>
      </c>
      <c r="H474" s="53">
        <f>SUM(H472:H473)</f>
        <v>160890.06</v>
      </c>
      <c r="I474" s="53">
        <f>SUM(I472:I473)</f>
        <v>0</v>
      </c>
      <c r="J474" s="53">
        <f>SUM(J472:J473)</f>
        <v>9243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425642.6799999997</v>
      </c>
      <c r="G476" s="53">
        <f>(G465+G470)- G474</f>
        <v>27077.579999999987</v>
      </c>
      <c r="H476" s="53">
        <f>(H465+H470)- H474</f>
        <v>0</v>
      </c>
      <c r="I476" s="53">
        <f>(I465+I470)- I474</f>
        <v>0</v>
      </c>
      <c r="J476" s="53">
        <f>(J465+J470)- J474</f>
        <v>209925.91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917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913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1960000</v>
      </c>
      <c r="G493" s="18">
        <v>2937516.5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5.82</v>
      </c>
      <c r="G494" s="18" t="s">
        <v>914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95000</v>
      </c>
      <c r="G495" s="18">
        <v>65057.5</v>
      </c>
      <c r="H495" s="18"/>
      <c r="I495" s="18"/>
      <c r="J495" s="18"/>
      <c r="K495" s="53">
        <f>SUM(F495:J495)</f>
        <v>160057.5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95000</v>
      </c>
      <c r="G497" s="18">
        <v>65057.5</v>
      </c>
      <c r="H497" s="18"/>
      <c r="I497" s="18"/>
      <c r="J497" s="18"/>
      <c r="K497" s="53">
        <f t="shared" si="35"/>
        <v>160057.5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1164328.97</v>
      </c>
      <c r="G521" s="18">
        <f>403047.33+9898.14</f>
        <v>412945.47000000003</v>
      </c>
      <c r="H521" s="18">
        <f>143539.85</f>
        <v>143539.85</v>
      </c>
      <c r="I521" s="18">
        <v>12268.71</v>
      </c>
      <c r="J521" s="18">
        <v>1601.83</v>
      </c>
      <c r="K521" s="18">
        <v>390</v>
      </c>
      <c r="L521" s="88">
        <f>SUM(F521:K521)</f>
        <v>1735074.83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1164328.97</v>
      </c>
      <c r="G524" s="108">
        <f t="shared" ref="G524:L524" si="36">SUM(G521:G523)</f>
        <v>412945.47000000003</v>
      </c>
      <c r="H524" s="108">
        <f t="shared" si="36"/>
        <v>143539.85</v>
      </c>
      <c r="I524" s="108">
        <f t="shared" si="36"/>
        <v>12268.71</v>
      </c>
      <c r="J524" s="108">
        <f t="shared" si="36"/>
        <v>1601.83</v>
      </c>
      <c r="K524" s="108">
        <f t="shared" si="36"/>
        <v>390</v>
      </c>
      <c r="L524" s="89">
        <f t="shared" si="36"/>
        <v>1735074.83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329397.82</v>
      </c>
      <c r="G526" s="18">
        <f>111368.33+2735.01</f>
        <v>114103.34</v>
      </c>
      <c r="H526" s="18">
        <f>194741.13+17616.25</f>
        <v>212357.38</v>
      </c>
      <c r="I526" s="18">
        <v>7744.23</v>
      </c>
      <c r="J526" s="18"/>
      <c r="K526" s="18"/>
      <c r="L526" s="88">
        <f>SUM(F526:K526)</f>
        <v>663602.77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329397.82</v>
      </c>
      <c r="G529" s="89">
        <f t="shared" ref="G529:L529" si="37">SUM(G526:G528)</f>
        <v>114103.34</v>
      </c>
      <c r="H529" s="89">
        <f t="shared" si="37"/>
        <v>212357.38</v>
      </c>
      <c r="I529" s="89">
        <f t="shared" si="37"/>
        <v>7744.23</v>
      </c>
      <c r="J529" s="89">
        <f t="shared" si="37"/>
        <v>0</v>
      </c>
      <c r="K529" s="89">
        <f t="shared" si="37"/>
        <v>0</v>
      </c>
      <c r="L529" s="89">
        <f t="shared" si="37"/>
        <v>663602.77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40568.269999999997</v>
      </c>
      <c r="G531" s="18">
        <f>15909.76+390.72</f>
        <v>16300.48</v>
      </c>
      <c r="H531" s="18"/>
      <c r="I531" s="18"/>
      <c r="J531" s="18"/>
      <c r="K531" s="18"/>
      <c r="L531" s="88">
        <f>SUM(F531:K531)</f>
        <v>56868.75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40568.269999999997</v>
      </c>
      <c r="G534" s="89">
        <f t="shared" ref="G534:L534" si="38">SUM(G531:G533)</f>
        <v>16300.48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56868.75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340.5</v>
      </c>
      <c r="I536" s="18"/>
      <c r="J536" s="18"/>
      <c r="K536" s="18"/>
      <c r="L536" s="88">
        <f>SUM(F536:K536)</f>
        <v>340.5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340.5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340.5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88660.14</v>
      </c>
      <c r="I541" s="18">
        <v>14346.07</v>
      </c>
      <c r="J541" s="18"/>
      <c r="K541" s="18"/>
      <c r="L541" s="88">
        <f>SUM(F541:K541)</f>
        <v>103006.20999999999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88660.14</v>
      </c>
      <c r="I544" s="193">
        <f t="shared" si="40"/>
        <v>14346.07</v>
      </c>
      <c r="J544" s="193">
        <f t="shared" si="40"/>
        <v>0</v>
      </c>
      <c r="K544" s="193">
        <f t="shared" si="40"/>
        <v>0</v>
      </c>
      <c r="L544" s="193">
        <f t="shared" si="40"/>
        <v>103006.20999999999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1534295.06</v>
      </c>
      <c r="G545" s="89">
        <f t="shared" ref="G545:L545" si="41">G524+G529+G534+G539+G544</f>
        <v>543349.29</v>
      </c>
      <c r="H545" s="89">
        <f t="shared" si="41"/>
        <v>444897.87</v>
      </c>
      <c r="I545" s="89">
        <f t="shared" si="41"/>
        <v>34359.009999999995</v>
      </c>
      <c r="J545" s="89">
        <f t="shared" si="41"/>
        <v>1601.83</v>
      </c>
      <c r="K545" s="89">
        <f t="shared" si="41"/>
        <v>390</v>
      </c>
      <c r="L545" s="89">
        <f t="shared" si="41"/>
        <v>2558893.06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1735074.83</v>
      </c>
      <c r="G549" s="87">
        <f>L526</f>
        <v>663602.77</v>
      </c>
      <c r="H549" s="87">
        <f>L531</f>
        <v>56868.75</v>
      </c>
      <c r="I549" s="87">
        <f>L536</f>
        <v>340.5</v>
      </c>
      <c r="J549" s="87">
        <f>L541</f>
        <v>103006.20999999999</v>
      </c>
      <c r="K549" s="87">
        <f>SUM(F549:J549)</f>
        <v>2558893.06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1735074.83</v>
      </c>
      <c r="G552" s="89">
        <f t="shared" si="42"/>
        <v>663602.77</v>
      </c>
      <c r="H552" s="89">
        <f t="shared" si="42"/>
        <v>56868.75</v>
      </c>
      <c r="I552" s="89">
        <f t="shared" si="42"/>
        <v>340.5</v>
      </c>
      <c r="J552" s="89">
        <f t="shared" si="42"/>
        <v>103006.20999999999</v>
      </c>
      <c r="K552" s="89">
        <f t="shared" si="42"/>
        <v>2558893.06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133887.75</v>
      </c>
      <c r="G582" s="18"/>
      <c r="H582" s="18"/>
      <c r="I582" s="87">
        <f t="shared" si="47"/>
        <v>133887.75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122270.84+122313.84+26.88+1500+39621</f>
        <v>285732.56</v>
      </c>
      <c r="I591" s="18"/>
      <c r="J591" s="18"/>
      <c r="K591" s="104">
        <f t="shared" ref="K591:K597" si="48">SUM(H591:J591)</f>
        <v>285732.56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15005.61+12849.41+3990+56506.84+14654.35</f>
        <v>103006.21</v>
      </c>
      <c r="I592" s="18"/>
      <c r="J592" s="18"/>
      <c r="K592" s="104">
        <f t="shared" si="48"/>
        <v>103006.21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388738.77</v>
      </c>
      <c r="I598" s="108">
        <f>SUM(I591:I597)</f>
        <v>0</v>
      </c>
      <c r="J598" s="108">
        <f>SUM(J591:J597)</f>
        <v>0</v>
      </c>
      <c r="K598" s="108">
        <f>SUM(K591:K597)</f>
        <v>388738.77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55586.26-5400</f>
        <v>50186.26</v>
      </c>
      <c r="I604" s="18"/>
      <c r="J604" s="18"/>
      <c r="K604" s="104">
        <f>SUM(H604:J604)</f>
        <v>50186.26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50186.26</v>
      </c>
      <c r="I605" s="108">
        <f>SUM(I602:I604)</f>
        <v>0</v>
      </c>
      <c r="J605" s="108">
        <f>SUM(J602:J604)</f>
        <v>0</v>
      </c>
      <c r="K605" s="108">
        <f>SUM(K602:K604)</f>
        <v>50186.26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32469.69</v>
      </c>
      <c r="G611" s="18"/>
      <c r="H611" s="18"/>
      <c r="I611" s="18">
        <v>2129.98</v>
      </c>
      <c r="J611" s="18"/>
      <c r="K611" s="18"/>
      <c r="L611" s="88">
        <f>SUM(F611:K611)</f>
        <v>34599.67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32469.69</v>
      </c>
      <c r="G614" s="108">
        <f t="shared" si="49"/>
        <v>0</v>
      </c>
      <c r="H614" s="108">
        <f t="shared" si="49"/>
        <v>0</v>
      </c>
      <c r="I614" s="108">
        <f t="shared" si="49"/>
        <v>2129.98</v>
      </c>
      <c r="J614" s="108">
        <f t="shared" si="49"/>
        <v>0</v>
      </c>
      <c r="K614" s="108">
        <f t="shared" si="49"/>
        <v>0</v>
      </c>
      <c r="L614" s="89">
        <f t="shared" si="49"/>
        <v>34599.67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1172734.3</v>
      </c>
      <c r="H617" s="109">
        <f>SUM(F52)</f>
        <v>1172734.3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44179.28</v>
      </c>
      <c r="H618" s="109">
        <f>SUM(G52)</f>
        <v>44179.28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128255.14</v>
      </c>
      <c r="H619" s="109">
        <f>SUM(H52)</f>
        <v>128255.14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209925.91</v>
      </c>
      <c r="H621" s="109">
        <f>SUM(J52)</f>
        <v>209925.91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425642.68</v>
      </c>
      <c r="H622" s="109">
        <f>F476</f>
        <v>425642.6799999997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27077.58</v>
      </c>
      <c r="H623" s="109">
        <f>G476</f>
        <v>27077.579999999987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209925.91</v>
      </c>
      <c r="H626" s="109">
        <f>J476</f>
        <v>209925.91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10553210.619999999</v>
      </c>
      <c r="H627" s="104">
        <f>SUM(F468)</f>
        <v>10553210.619999999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212237.55</v>
      </c>
      <c r="H628" s="104">
        <f>SUM(G468)</f>
        <v>212237.55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160890.06</v>
      </c>
      <c r="H629" s="104">
        <f>SUM(H468)</f>
        <v>160890.06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10485170.570000002</v>
      </c>
      <c r="H632" s="104">
        <f>SUM(F472)</f>
        <v>10485170.57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160890.06</v>
      </c>
      <c r="H633" s="104">
        <f>SUM(H472)</f>
        <v>160890.06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99694.32</v>
      </c>
      <c r="H634" s="104">
        <f>I369</f>
        <v>99694.32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206745.26</v>
      </c>
      <c r="H635" s="104">
        <f>SUM(G472)</f>
        <v>206745.26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9243</v>
      </c>
      <c r="H638" s="164">
        <f>SUM(J472)</f>
        <v>9243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209925.91</v>
      </c>
      <c r="H640" s="104">
        <f>SUM(G461)</f>
        <v>209925.91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209925.91</v>
      </c>
      <c r="H642" s="104">
        <f>SUM(I461)</f>
        <v>209925.91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20000</v>
      </c>
      <c r="H646" s="104">
        <f>L408</f>
        <v>20000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388738.77</v>
      </c>
      <c r="H647" s="104">
        <f>L208+L226+L244</f>
        <v>388738.77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50186.26</v>
      </c>
      <c r="H648" s="104">
        <f>(J257+J338)-(J255+J336)</f>
        <v>50186.259999999995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388738.77</v>
      </c>
      <c r="H649" s="104">
        <f>H598</f>
        <v>388738.77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10451151.510000002</v>
      </c>
      <c r="G660" s="19">
        <f>(L229+L309+L359)</f>
        <v>0</v>
      </c>
      <c r="H660" s="19">
        <f>(L247+L328+L360)</f>
        <v>0</v>
      </c>
      <c r="I660" s="19">
        <f>SUM(F660:H660)</f>
        <v>10451151.510000002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175723.71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175723.71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388738.77</v>
      </c>
      <c r="G662" s="19">
        <f>(L226+L306)-(J226+J306)</f>
        <v>0</v>
      </c>
      <c r="H662" s="19">
        <f>(L244+L325)-(J244+J325)</f>
        <v>0</v>
      </c>
      <c r="I662" s="19">
        <f>SUM(F662:H662)</f>
        <v>388738.77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218673.68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218673.68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9668015.3500000015</v>
      </c>
      <c r="G664" s="19">
        <f>G660-SUM(G661:G663)</f>
        <v>0</v>
      </c>
      <c r="H664" s="19">
        <f>H660-SUM(H661:H663)</f>
        <v>0</v>
      </c>
      <c r="I664" s="19">
        <f>I660-SUM(I661:I663)</f>
        <v>9668015.3500000015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616.30999999999995</v>
      </c>
      <c r="G665" s="248"/>
      <c r="H665" s="248"/>
      <c r="I665" s="19">
        <f>SUM(F665:H665)</f>
        <v>616.30999999999995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15686.94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15686.94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15686.94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15686.94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Hollis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3128342.35</v>
      </c>
      <c r="C9" s="229">
        <f>'DOE25'!G197+'DOE25'!G215+'DOE25'!G233+'DOE25'!G276+'DOE25'!G295+'DOE25'!G314</f>
        <v>1111585.75</v>
      </c>
    </row>
    <row r="10" spans="1:3" x14ac:dyDescent="0.2">
      <c r="A10" t="s">
        <v>779</v>
      </c>
      <c r="B10" s="240">
        <v>2927407.02</v>
      </c>
      <c r="C10" s="240">
        <f>B10/B13*C9</f>
        <v>1040187.9218500382</v>
      </c>
    </row>
    <row r="11" spans="1:3" x14ac:dyDescent="0.2">
      <c r="A11" t="s">
        <v>780</v>
      </c>
      <c r="B11" s="240">
        <f>6630+78329.4</f>
        <v>84959.4</v>
      </c>
      <c r="C11" s="240">
        <f>B11/B13*C9</f>
        <v>30188.402611546015</v>
      </c>
    </row>
    <row r="12" spans="1:3" x14ac:dyDescent="0.2">
      <c r="A12" t="s">
        <v>781</v>
      </c>
      <c r="B12" s="240">
        <f>115975.93</f>
        <v>115975.93</v>
      </c>
      <c r="C12" s="240">
        <f>B12/B13*C9</f>
        <v>41209.425538415737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3128342.35</v>
      </c>
      <c r="C13" s="231">
        <f>SUM(C10:C12)</f>
        <v>1111585.75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1204897.24</v>
      </c>
      <c r="C18" s="229">
        <f>'DOE25'!G198+'DOE25'!G216+'DOE25'!G234+'DOE25'!G277+'DOE25'!G296+'DOE25'!G315</f>
        <v>393901.77</v>
      </c>
    </row>
    <row r="19" spans="1:3" x14ac:dyDescent="0.2">
      <c r="A19" t="s">
        <v>779</v>
      </c>
      <c r="B19" s="240">
        <v>600395.80000000005</v>
      </c>
      <c r="C19" s="240">
        <f>B19/B22*C18</f>
        <v>196279.78259836169</v>
      </c>
    </row>
    <row r="20" spans="1:3" x14ac:dyDescent="0.2">
      <c r="A20" t="s">
        <v>780</v>
      </c>
      <c r="B20" s="240">
        <v>531463.48</v>
      </c>
      <c r="C20" s="240">
        <f>B20/B22*C18</f>
        <v>173744.6136588043</v>
      </c>
    </row>
    <row r="21" spans="1:3" x14ac:dyDescent="0.2">
      <c r="A21" t="s">
        <v>781</v>
      </c>
      <c r="B21" s="240">
        <v>73037.960000000006</v>
      </c>
      <c r="C21" s="240">
        <f>B21/B22*C18</f>
        <v>23877.373742834039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1204897.24</v>
      </c>
      <c r="C22" s="231">
        <f>SUM(C19:C21)</f>
        <v>393901.77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Hollis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5987156.5200000014</v>
      </c>
      <c r="D5" s="20">
        <f>SUM('DOE25'!L197:L200)+SUM('DOE25'!L215:L218)+SUM('DOE25'!L233:L236)-F5-G5</f>
        <v>5974556.9100000011</v>
      </c>
      <c r="E5" s="243"/>
      <c r="F5" s="255">
        <f>SUM('DOE25'!J197:J200)+SUM('DOE25'!J215:J218)+SUM('DOE25'!J233:J236)</f>
        <v>9621.4</v>
      </c>
      <c r="G5" s="53">
        <f>SUM('DOE25'!K197:K200)+SUM('DOE25'!K215:K218)+SUM('DOE25'!K233:K236)</f>
        <v>2978.21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1020432.6600000001</v>
      </c>
      <c r="D6" s="20">
        <f>'DOE25'!L202+'DOE25'!L220+'DOE25'!L238-F6-G6</f>
        <v>1019557.7600000001</v>
      </c>
      <c r="E6" s="243"/>
      <c r="F6" s="255">
        <f>'DOE25'!J202+'DOE25'!J220+'DOE25'!J238</f>
        <v>604.9</v>
      </c>
      <c r="G6" s="53">
        <f>'DOE25'!K202+'DOE25'!K220+'DOE25'!K238</f>
        <v>270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360356.98</v>
      </c>
      <c r="D7" s="20">
        <f>'DOE25'!L203+'DOE25'!L221+'DOE25'!L239-F7-G7</f>
        <v>341392.58999999997</v>
      </c>
      <c r="E7" s="243"/>
      <c r="F7" s="255">
        <f>'DOE25'!J203+'DOE25'!J221+'DOE25'!J239</f>
        <v>18964.39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266867.71000000002</v>
      </c>
      <c r="D8" s="243"/>
      <c r="E8" s="20">
        <f>'DOE25'!L204+'DOE25'!L222+'DOE25'!L240-F8-G8-D9-D11</f>
        <v>266117.71000000002</v>
      </c>
      <c r="F8" s="255">
        <f>'DOE25'!J204+'DOE25'!J222+'DOE25'!J240</f>
        <v>0</v>
      </c>
      <c r="G8" s="53">
        <f>'DOE25'!K204+'DOE25'!K222+'DOE25'!K240</f>
        <v>750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282060.53000000003</v>
      </c>
      <c r="D9" s="244">
        <v>282060.53000000003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9150</v>
      </c>
      <c r="D10" s="243"/>
      <c r="E10" s="244">
        <v>9150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127231.29</v>
      </c>
      <c r="D11" s="244">
        <v>127231.29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663109.28999999992</v>
      </c>
      <c r="D12" s="20">
        <f>'DOE25'!L205+'DOE25'!L223+'DOE25'!L241-F12-G12</f>
        <v>660359.28999999992</v>
      </c>
      <c r="E12" s="243"/>
      <c r="F12" s="255">
        <f>'DOE25'!J205+'DOE25'!J223+'DOE25'!J241</f>
        <v>500</v>
      </c>
      <c r="G12" s="53">
        <f>'DOE25'!K205+'DOE25'!K223+'DOE25'!K241</f>
        <v>2250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987562.43999999983</v>
      </c>
      <c r="D14" s="20">
        <f>'DOE25'!L207+'DOE25'!L225+'DOE25'!L243-F14-G14</f>
        <v>981410.59999999986</v>
      </c>
      <c r="E14" s="243"/>
      <c r="F14" s="255">
        <f>'DOE25'!J207+'DOE25'!J225+'DOE25'!J243</f>
        <v>6151.84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388738.77</v>
      </c>
      <c r="D15" s="20">
        <f>'DOE25'!L208+'DOE25'!L226+'DOE25'!L244-F15-G15</f>
        <v>388738.77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18745</v>
      </c>
      <c r="D22" s="243"/>
      <c r="E22" s="243"/>
      <c r="F22" s="255">
        <f>'DOE25'!L255+'DOE25'!L336</f>
        <v>18745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362909.38</v>
      </c>
      <c r="D25" s="243"/>
      <c r="E25" s="243"/>
      <c r="F25" s="258"/>
      <c r="G25" s="256"/>
      <c r="H25" s="257">
        <f>'DOE25'!L260+'DOE25'!L261+'DOE25'!L341+'DOE25'!L342</f>
        <v>362909.38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115862.54000000001</v>
      </c>
      <c r="D29" s="20">
        <f>'DOE25'!L358+'DOE25'!L359+'DOE25'!L360-'DOE25'!I367-F29-G29</f>
        <v>110462.54000000001</v>
      </c>
      <c r="E29" s="243"/>
      <c r="F29" s="255">
        <f>'DOE25'!J358+'DOE25'!J359+'DOE25'!J360</f>
        <v>5400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160890.06</v>
      </c>
      <c r="D31" s="20">
        <f>'DOE25'!L290+'DOE25'!L309+'DOE25'!L328+'DOE25'!L333+'DOE25'!L334+'DOE25'!L335-F31-G31</f>
        <v>142775.76999999999</v>
      </c>
      <c r="E31" s="243"/>
      <c r="F31" s="255">
        <f>'DOE25'!J290+'DOE25'!J309+'DOE25'!J328+'DOE25'!J333+'DOE25'!J334+'DOE25'!J335</f>
        <v>14343.73</v>
      </c>
      <c r="G31" s="53">
        <f>'DOE25'!K290+'DOE25'!K309+'DOE25'!K328+'DOE25'!K333+'DOE25'!K334+'DOE25'!K335</f>
        <v>3770.56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10028546.049999999</v>
      </c>
      <c r="E33" s="246">
        <f>SUM(E5:E31)</f>
        <v>275267.71000000002</v>
      </c>
      <c r="F33" s="246">
        <f>SUM(F5:F31)</f>
        <v>74331.259999999995</v>
      </c>
      <c r="G33" s="246">
        <f>SUM(G5:G31)</f>
        <v>10018.77</v>
      </c>
      <c r="H33" s="246">
        <f>SUM(H5:H31)</f>
        <v>362909.38</v>
      </c>
    </row>
    <row r="35" spans="2:8" ht="12" thickBot="1" x14ac:dyDescent="0.25">
      <c r="B35" s="253" t="s">
        <v>847</v>
      </c>
      <c r="D35" s="254">
        <f>E33</f>
        <v>275267.71000000002</v>
      </c>
      <c r="E35" s="249"/>
    </row>
    <row r="36" spans="2:8" ht="12" thickTop="1" x14ac:dyDescent="0.2">
      <c r="B36" t="s">
        <v>815</v>
      </c>
      <c r="D36" s="20">
        <f>D33</f>
        <v>10028546.049999999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333307.56</v>
      </c>
      <c r="D8" s="95">
        <f>'DOE25'!G9</f>
        <v>14087.29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468.79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819989.82</v>
      </c>
      <c r="D11" s="95">
        <f>'DOE25'!G12</f>
        <v>18155.54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1751.32</v>
      </c>
      <c r="D12" s="95">
        <f>'DOE25'!G13</f>
        <v>4402.82</v>
      </c>
      <c r="E12" s="95">
        <f>'DOE25'!H13</f>
        <v>126524.47</v>
      </c>
      <c r="F12" s="95">
        <f>'DOE25'!I13</f>
        <v>0</v>
      </c>
      <c r="G12" s="95">
        <f>'DOE25'!J13</f>
        <v>208425.91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5383.9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7533.63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13288.62</v>
      </c>
      <c r="D16" s="95">
        <f>'DOE25'!G17</f>
        <v>0</v>
      </c>
      <c r="E16" s="95">
        <f>'DOE25'!H17</f>
        <v>1730.67</v>
      </c>
      <c r="F16" s="95">
        <f>'DOE25'!I17</f>
        <v>0</v>
      </c>
      <c r="G16" s="95">
        <f>'DOE25'!J17</f>
        <v>1500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-1455.71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1172734.3</v>
      </c>
      <c r="D18" s="41">
        <f>SUM(D8:D17)</f>
        <v>44179.28</v>
      </c>
      <c r="E18" s="41">
        <f>SUM(E8:E17)</f>
        <v>128255.14</v>
      </c>
      <c r="F18" s="41">
        <f>SUM(F8:F17)</f>
        <v>0</v>
      </c>
      <c r="G18" s="41">
        <f>SUM(G8:G17)</f>
        <v>209925.91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631364.77</v>
      </c>
      <c r="D21" s="95">
        <f>'DOE25'!G22</f>
        <v>0</v>
      </c>
      <c r="E21" s="95">
        <f>'DOE25'!H22</f>
        <v>124484.58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3214.66</v>
      </c>
      <c r="D22" s="95">
        <f>'DOE25'!G23</f>
        <v>0</v>
      </c>
      <c r="E22" s="95">
        <f>'DOE25'!H23</f>
        <v>3770.56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43326.89</v>
      </c>
      <c r="D23" s="95">
        <f>'DOE25'!G24</f>
        <v>2680.86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58877.59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10067.709999999999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240</v>
      </c>
      <c r="D29" s="95">
        <f>'DOE25'!G30</f>
        <v>14420.84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747091.62</v>
      </c>
      <c r="D31" s="41">
        <f>SUM(D21:D30)</f>
        <v>17101.7</v>
      </c>
      <c r="E31" s="41">
        <f>SUM(E21:E30)</f>
        <v>128255.14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7533.63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13288.62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17013.95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151787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209925.91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23033.360000000001</v>
      </c>
      <c r="D48" s="95">
        <f>'DOE25'!G49</f>
        <v>2530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122533.7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425642.68</v>
      </c>
      <c r="D50" s="41">
        <f>SUM(D34:D49)</f>
        <v>27077.58</v>
      </c>
      <c r="E50" s="41">
        <f>SUM(E34:E49)</f>
        <v>0</v>
      </c>
      <c r="F50" s="41">
        <f>SUM(F34:F49)</f>
        <v>0</v>
      </c>
      <c r="G50" s="41">
        <f>SUM(G34:G49)</f>
        <v>209925.91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1172734.3</v>
      </c>
      <c r="D51" s="41">
        <f>D50+D31</f>
        <v>44179.28</v>
      </c>
      <c r="E51" s="41">
        <f>E50+E31</f>
        <v>128255.14</v>
      </c>
      <c r="F51" s="41">
        <f>F50+F31</f>
        <v>0</v>
      </c>
      <c r="G51" s="41">
        <f>G50+G31</f>
        <v>209925.91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7991854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19230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3342.14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175723.71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73792.91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96365.05</v>
      </c>
      <c r="D62" s="130">
        <f>SUM(D57:D61)</f>
        <v>175723.71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8088219.0499999998</v>
      </c>
      <c r="D63" s="22">
        <f>D56+D62</f>
        <v>175723.71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879324.82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1391243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2270567.8199999998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49851.41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97736.01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2587.8000000000002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147587.41999999998</v>
      </c>
      <c r="D78" s="130">
        <f>SUM(D72:D77)</f>
        <v>2587.8000000000002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2418155.2399999998</v>
      </c>
      <c r="D81" s="130">
        <f>SUM(D79:D80)+D78+D70</f>
        <v>2587.8000000000002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10921.79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46644.15</v>
      </c>
      <c r="D88" s="95">
        <f>SUM('DOE25'!G153:G161)</f>
        <v>23004.25</v>
      </c>
      <c r="E88" s="95">
        <f>SUM('DOE25'!H153:H161)</f>
        <v>160890.06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46644.15</v>
      </c>
      <c r="D91" s="131">
        <f>SUM(D85:D90)</f>
        <v>33926.04</v>
      </c>
      <c r="E91" s="131">
        <f>SUM(E85:E90)</f>
        <v>160890.06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192.18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192.18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10553210.619999999</v>
      </c>
      <c r="D104" s="86">
        <f>D63+D81+D91+D103</f>
        <v>212237.55</v>
      </c>
      <c r="E104" s="86">
        <f>E63+E81+E91+E103</f>
        <v>160890.06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4332343.0100000007</v>
      </c>
      <c r="D109" s="24" t="s">
        <v>289</v>
      </c>
      <c r="E109" s="95">
        <f>('DOE25'!L276)+('DOE25'!L295)+('DOE25'!L314)</f>
        <v>24724.379999999997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1654813.5100000002</v>
      </c>
      <c r="D110" s="24" t="s">
        <v>289</v>
      </c>
      <c r="E110" s="95">
        <f>('DOE25'!L277)+('DOE25'!L296)+('DOE25'!L315)</f>
        <v>121630.98000000001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5987156.5200000014</v>
      </c>
      <c r="D115" s="86">
        <f>SUM(D109:D114)</f>
        <v>0</v>
      </c>
      <c r="E115" s="86">
        <f>SUM(E109:E114)</f>
        <v>146355.36000000002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1020432.6600000001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360356.98</v>
      </c>
      <c r="D119" s="24" t="s">
        <v>289</v>
      </c>
      <c r="E119" s="95">
        <f>+('DOE25'!L282)+('DOE25'!L301)+('DOE25'!L320)</f>
        <v>10764.14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676159.53</v>
      </c>
      <c r="D120" s="24" t="s">
        <v>289</v>
      </c>
      <c r="E120" s="95">
        <f>+('DOE25'!L283)+('DOE25'!L302)+('DOE25'!L321)</f>
        <v>3770.56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663109.28999999992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987562.43999999983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388738.77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206745.26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4096359.67</v>
      </c>
      <c r="D128" s="86">
        <f>SUM(D118:D127)</f>
        <v>206745.26</v>
      </c>
      <c r="E128" s="86">
        <f>SUM(E118:E127)</f>
        <v>14534.699999999999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18745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160057.5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202851.88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9243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401654.38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9243</v>
      </c>
    </row>
    <row r="145" spans="1:9" ht="12.75" thickTop="1" thickBot="1" x14ac:dyDescent="0.25">
      <c r="A145" s="33" t="s">
        <v>244</v>
      </c>
      <c r="C145" s="86">
        <f>(C115+C128+C144)</f>
        <v>10485170.570000002</v>
      </c>
      <c r="D145" s="86">
        <f>(D115+D128+D144)</f>
        <v>206745.26</v>
      </c>
      <c r="E145" s="86">
        <f>(E115+E128+E144)</f>
        <v>160890.06000000003</v>
      </c>
      <c r="F145" s="86">
        <f>(F115+F128+F144)</f>
        <v>0</v>
      </c>
      <c r="G145" s="86">
        <f>(G115+G128+G144)</f>
        <v>9243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08/94</v>
      </c>
      <c r="C152" s="152" t="str">
        <f>'DOE25'!G491</f>
        <v>08/94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08/14</v>
      </c>
      <c r="C153" s="152" t="str">
        <f>'DOE25'!G492</f>
        <v>08/14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1960000</v>
      </c>
      <c r="C154" s="137">
        <f>'DOE25'!G493</f>
        <v>2937516.5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5.82</v>
      </c>
      <c r="C155" s="137" t="str">
        <f>'DOE25'!G494</f>
        <v>VAR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95000</v>
      </c>
      <c r="C156" s="137">
        <f>'DOE25'!G495</f>
        <v>65057.5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160057.5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95000</v>
      </c>
      <c r="C158" s="137">
        <f>'DOE25'!G497</f>
        <v>65057.5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160057.5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Hollis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15687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15687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4357067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1776444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1020433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371121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679930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663109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987562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388739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202852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31021.290000000008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10478278.289999999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18745</v>
      </c>
    </row>
    <row r="30" spans="1:4" x14ac:dyDescent="0.2">
      <c r="B30" s="187" t="s">
        <v>729</v>
      </c>
      <c r="C30" s="180">
        <f>SUM(C28:C29)</f>
        <v>10497023.289999999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160058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7991854</v>
      </c>
      <c r="D35" s="182">
        <f t="shared" ref="D35:D40" si="1">ROUND((C35/$C$41)*100,1)</f>
        <v>74.3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96365.049999999814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2270568</v>
      </c>
      <c r="D37" s="182">
        <f t="shared" si="1"/>
        <v>21.1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150175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241460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10750422.050000001</v>
      </c>
      <c r="D41" s="184">
        <f>SUM(D35:D40)</f>
        <v>99.90000000000002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Hollis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2015-09-27T15:40:25Z</cp:lastPrinted>
  <dcterms:created xsi:type="dcterms:W3CDTF">1997-12-04T19:04:30Z</dcterms:created>
  <dcterms:modified xsi:type="dcterms:W3CDTF">2015-12-18T18:04:18Z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