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2560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2" l="1"/>
  <c r="G315" i="1"/>
  <c r="H159" i="1"/>
  <c r="H23" i="1"/>
  <c r="H13" i="1"/>
  <c r="D9" i="13"/>
  <c r="H604" i="1"/>
  <c r="J604" i="1"/>
  <c r="I604" i="1"/>
  <c r="F197" i="1"/>
  <c r="G197" i="1"/>
  <c r="H197" i="1"/>
  <c r="I197" i="1"/>
  <c r="J197" i="1"/>
  <c r="K197" i="1"/>
  <c r="L197" i="1"/>
  <c r="F198" i="1"/>
  <c r="G198" i="1"/>
  <c r="H198" i="1"/>
  <c r="I198" i="1"/>
  <c r="J198" i="1"/>
  <c r="L198" i="1"/>
  <c r="L199" i="1"/>
  <c r="L200" i="1"/>
  <c r="F202" i="1"/>
  <c r="G202" i="1"/>
  <c r="H202" i="1"/>
  <c r="I202" i="1"/>
  <c r="J202" i="1"/>
  <c r="L202" i="1"/>
  <c r="F203" i="1"/>
  <c r="G203" i="1"/>
  <c r="H203" i="1"/>
  <c r="I203" i="1"/>
  <c r="J203" i="1"/>
  <c r="K203" i="1"/>
  <c r="L203" i="1"/>
  <c r="H204" i="1"/>
  <c r="L204" i="1"/>
  <c r="L205" i="1"/>
  <c r="H206" i="1"/>
  <c r="L206" i="1"/>
  <c r="F207" i="1"/>
  <c r="G207" i="1"/>
  <c r="H207" i="1"/>
  <c r="I207" i="1"/>
  <c r="J207" i="1"/>
  <c r="L207" i="1"/>
  <c r="F208" i="1"/>
  <c r="G208" i="1"/>
  <c r="H208" i="1"/>
  <c r="L208" i="1"/>
  <c r="L209" i="1"/>
  <c r="L211" i="1"/>
  <c r="F215" i="1"/>
  <c r="G215" i="1"/>
  <c r="H215" i="1"/>
  <c r="I215" i="1"/>
  <c r="J215" i="1"/>
  <c r="L215" i="1"/>
  <c r="F216" i="1"/>
  <c r="G216" i="1"/>
  <c r="H216" i="1"/>
  <c r="I216" i="1"/>
  <c r="J216" i="1"/>
  <c r="L216" i="1"/>
  <c r="L217" i="1"/>
  <c r="L218" i="1"/>
  <c r="F220" i="1"/>
  <c r="G220" i="1"/>
  <c r="H220" i="1"/>
  <c r="I220" i="1"/>
  <c r="J220" i="1"/>
  <c r="L220" i="1"/>
  <c r="F221" i="1"/>
  <c r="G221" i="1"/>
  <c r="H221" i="1"/>
  <c r="I221" i="1"/>
  <c r="J221" i="1"/>
  <c r="K221" i="1"/>
  <c r="L221" i="1"/>
  <c r="H222" i="1"/>
  <c r="L222" i="1"/>
  <c r="L223" i="1"/>
  <c r="H224" i="1"/>
  <c r="L224" i="1"/>
  <c r="F225" i="1"/>
  <c r="G225" i="1"/>
  <c r="H225" i="1"/>
  <c r="I225" i="1"/>
  <c r="J225" i="1"/>
  <c r="L225" i="1"/>
  <c r="F226" i="1"/>
  <c r="G226" i="1"/>
  <c r="H226" i="1"/>
  <c r="L226" i="1"/>
  <c r="L227" i="1"/>
  <c r="L229" i="1"/>
  <c r="F233" i="1"/>
  <c r="G233" i="1"/>
  <c r="H233" i="1"/>
  <c r="I233" i="1"/>
  <c r="J233" i="1"/>
  <c r="L233" i="1"/>
  <c r="F234" i="1"/>
  <c r="G234" i="1"/>
  <c r="H234" i="1"/>
  <c r="I234" i="1"/>
  <c r="J234" i="1"/>
  <c r="L234" i="1"/>
  <c r="L235" i="1"/>
  <c r="L236" i="1"/>
  <c r="F238" i="1"/>
  <c r="G238" i="1"/>
  <c r="H238" i="1"/>
  <c r="I238" i="1"/>
  <c r="J238" i="1"/>
  <c r="L238" i="1"/>
  <c r="F239" i="1"/>
  <c r="G239" i="1"/>
  <c r="H239" i="1"/>
  <c r="I239" i="1"/>
  <c r="J239" i="1"/>
  <c r="K239" i="1"/>
  <c r="L239" i="1"/>
  <c r="H240" i="1"/>
  <c r="L240" i="1"/>
  <c r="L241" i="1"/>
  <c r="H242" i="1"/>
  <c r="L242" i="1"/>
  <c r="F243" i="1"/>
  <c r="G243" i="1"/>
  <c r="H243" i="1"/>
  <c r="I243" i="1"/>
  <c r="J243" i="1"/>
  <c r="L243" i="1"/>
  <c r="F244" i="1"/>
  <c r="G244" i="1"/>
  <c r="H244" i="1"/>
  <c r="I244" i="1"/>
  <c r="L244" i="1"/>
  <c r="L245" i="1"/>
  <c r="L247" i="1"/>
  <c r="F256" i="1"/>
  <c r="G256" i="1"/>
  <c r="H256" i="1"/>
  <c r="I256" i="1"/>
  <c r="J256" i="1"/>
  <c r="K256" i="1"/>
  <c r="L256" i="1"/>
  <c r="L257" i="1"/>
  <c r="F270" i="1"/>
  <c r="G270" i="1"/>
  <c r="H270" i="1"/>
  <c r="I270" i="1"/>
  <c r="J270" i="1"/>
  <c r="K270" i="1"/>
  <c r="L270" i="1"/>
  <c r="L271" i="1"/>
  <c r="F472" i="1"/>
  <c r="G613" i="1"/>
  <c r="F613" i="1"/>
  <c r="G612" i="1"/>
  <c r="F612" i="1"/>
  <c r="G611" i="1"/>
  <c r="F611" i="1"/>
  <c r="F582" i="1"/>
  <c r="G564" i="1"/>
  <c r="J523" i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H514" i="1"/>
  <c r="H512" i="1"/>
  <c r="H513" i="1"/>
  <c r="F499" i="1"/>
  <c r="F498" i="1"/>
  <c r="L413" i="1"/>
  <c r="L414" i="1"/>
  <c r="L415" i="1"/>
  <c r="L416" i="1"/>
  <c r="L417" i="1"/>
  <c r="L418" i="1"/>
  <c r="L419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J472" i="1"/>
  <c r="L395" i="1"/>
  <c r="L396" i="1"/>
  <c r="L397" i="1"/>
  <c r="L398" i="1"/>
  <c r="L399" i="1"/>
  <c r="L400" i="1"/>
  <c r="L401" i="1"/>
  <c r="L387" i="1"/>
  <c r="L388" i="1"/>
  <c r="L389" i="1"/>
  <c r="L390" i="1"/>
  <c r="L391" i="1"/>
  <c r="L392" i="1"/>
  <c r="L393" i="1"/>
  <c r="L403" i="1"/>
  <c r="L404" i="1"/>
  <c r="L405" i="1"/>
  <c r="L406" i="1"/>
  <c r="L407" i="1"/>
  <c r="L408" i="1"/>
  <c r="J427" i="1"/>
  <c r="J468" i="1"/>
  <c r="L315" i="1"/>
  <c r="I314" i="1"/>
  <c r="L314" i="1"/>
  <c r="L316" i="1"/>
  <c r="L317" i="1"/>
  <c r="L319" i="1"/>
  <c r="H320" i="1"/>
  <c r="I320" i="1"/>
  <c r="L320" i="1"/>
  <c r="L321" i="1"/>
  <c r="L322" i="1"/>
  <c r="L323" i="1"/>
  <c r="L324" i="1"/>
  <c r="L325" i="1"/>
  <c r="L326" i="1"/>
  <c r="L328" i="1"/>
  <c r="F276" i="1"/>
  <c r="G276" i="1"/>
  <c r="I276" i="1"/>
  <c r="L276" i="1"/>
  <c r="J277" i="1"/>
  <c r="L277" i="1"/>
  <c r="L278" i="1"/>
  <c r="L279" i="1"/>
  <c r="J281" i="1"/>
  <c r="L281" i="1"/>
  <c r="H282" i="1"/>
  <c r="I282" i="1"/>
  <c r="L282" i="1"/>
  <c r="L283" i="1"/>
  <c r="L284" i="1"/>
  <c r="L285" i="1"/>
  <c r="L286" i="1"/>
  <c r="L287" i="1"/>
  <c r="L288" i="1"/>
  <c r="L290" i="1"/>
  <c r="I295" i="1"/>
  <c r="L295" i="1"/>
  <c r="L296" i="1"/>
  <c r="L297" i="1"/>
  <c r="L298" i="1"/>
  <c r="L300" i="1"/>
  <c r="H301" i="1"/>
  <c r="I301" i="1"/>
  <c r="L301" i="1"/>
  <c r="L302" i="1"/>
  <c r="L303" i="1"/>
  <c r="L304" i="1"/>
  <c r="L305" i="1"/>
  <c r="L306" i="1"/>
  <c r="L307" i="1"/>
  <c r="L309" i="1"/>
  <c r="F337" i="1"/>
  <c r="G337" i="1"/>
  <c r="H337" i="1"/>
  <c r="I337" i="1"/>
  <c r="J337" i="1"/>
  <c r="K337" i="1"/>
  <c r="L337" i="1"/>
  <c r="L338" i="1"/>
  <c r="L341" i="1"/>
  <c r="L342" i="1"/>
  <c r="L344" i="1"/>
  <c r="L345" i="1"/>
  <c r="L346" i="1"/>
  <c r="L347" i="1"/>
  <c r="L349" i="1"/>
  <c r="L350" i="1"/>
  <c r="L351" i="1"/>
  <c r="L352" i="1"/>
  <c r="H472" i="1"/>
  <c r="H154" i="1"/>
  <c r="H155" i="1"/>
  <c r="H162" i="1"/>
  <c r="H147" i="1"/>
  <c r="H169" i="1"/>
  <c r="H60" i="1"/>
  <c r="H79" i="1"/>
  <c r="H94" i="1"/>
  <c r="H101" i="1"/>
  <c r="H102" i="1"/>
  <c r="H110" i="1"/>
  <c r="H111" i="1"/>
  <c r="H112" i="1"/>
  <c r="H121" i="1"/>
  <c r="H136" i="1"/>
  <c r="H140" i="1"/>
  <c r="H183" i="1"/>
  <c r="H188" i="1"/>
  <c r="H192" i="1"/>
  <c r="H193" i="1"/>
  <c r="H468" i="1"/>
  <c r="H358" i="1"/>
  <c r="L358" i="1"/>
  <c r="H359" i="1"/>
  <c r="L359" i="1"/>
  <c r="H360" i="1"/>
  <c r="L360" i="1"/>
  <c r="L361" i="1"/>
  <c r="L362" i="1"/>
  <c r="G472" i="1"/>
  <c r="G60" i="1"/>
  <c r="G111" i="1"/>
  <c r="G112" i="1"/>
  <c r="G121" i="1"/>
  <c r="G132" i="1"/>
  <c r="G136" i="1"/>
  <c r="G140" i="1"/>
  <c r="G147" i="1"/>
  <c r="G158" i="1"/>
  <c r="G162" i="1"/>
  <c r="G169" i="1"/>
  <c r="G183" i="1"/>
  <c r="G188" i="1"/>
  <c r="G192" i="1"/>
  <c r="G193" i="1"/>
  <c r="G468" i="1"/>
  <c r="F98" i="1"/>
  <c r="F111" i="1"/>
  <c r="F60" i="1"/>
  <c r="F79" i="1"/>
  <c r="F94" i="1"/>
  <c r="F112" i="1"/>
  <c r="F121" i="1"/>
  <c r="F136" i="1"/>
  <c r="F140" i="1"/>
  <c r="F147" i="1"/>
  <c r="F162" i="1"/>
  <c r="F169" i="1"/>
  <c r="F177" i="1"/>
  <c r="F183" i="1"/>
  <c r="F188" i="1"/>
  <c r="F192" i="1"/>
  <c r="F193" i="1"/>
  <c r="F468" i="1"/>
  <c r="G439" i="1"/>
  <c r="F439" i="1"/>
  <c r="H368" i="1"/>
  <c r="G368" i="1"/>
  <c r="F368" i="1"/>
  <c r="H30" i="1"/>
  <c r="H24" i="1"/>
  <c r="F2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D39" i="13"/>
  <c r="F13" i="13"/>
  <c r="G13" i="13"/>
  <c r="F16" i="13"/>
  <c r="G16" i="13"/>
  <c r="F5" i="13"/>
  <c r="G5" i="13"/>
  <c r="F6" i="13"/>
  <c r="G6" i="13"/>
  <c r="F7" i="13"/>
  <c r="G7" i="13"/>
  <c r="F12" i="13"/>
  <c r="G12" i="13"/>
  <c r="F14" i="13"/>
  <c r="G14" i="13"/>
  <c r="F15" i="13"/>
  <c r="G15" i="13"/>
  <c r="F17" i="13"/>
  <c r="G17" i="13"/>
  <c r="L251" i="1"/>
  <c r="F18" i="13"/>
  <c r="G18" i="13"/>
  <c r="L252" i="1"/>
  <c r="F19" i="13"/>
  <c r="G19" i="13"/>
  <c r="L253" i="1"/>
  <c r="F29" i="13"/>
  <c r="G29" i="13"/>
  <c r="I367" i="1"/>
  <c r="J290" i="1"/>
  <c r="J309" i="1"/>
  <c r="J328" i="1"/>
  <c r="K290" i="1"/>
  <c r="K309" i="1"/>
  <c r="K328" i="1"/>
  <c r="L333" i="1"/>
  <c r="L334" i="1"/>
  <c r="L335" i="1"/>
  <c r="L260" i="1"/>
  <c r="L261" i="1"/>
  <c r="L255" i="1"/>
  <c r="L336" i="1"/>
  <c r="C11" i="13"/>
  <c r="C10" i="13"/>
  <c r="C9" i="13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I60" i="1"/>
  <c r="I111" i="1"/>
  <c r="I112" i="1"/>
  <c r="J111" i="1"/>
  <c r="J112" i="1"/>
  <c r="I121" i="1"/>
  <c r="I136" i="1"/>
  <c r="J121" i="1"/>
  <c r="J136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I665" i="1"/>
  <c r="I670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I177" i="1"/>
  <c r="I183" i="1"/>
  <c r="J183" i="1"/>
  <c r="J192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J338" i="1"/>
  <c r="J352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F419" i="1"/>
  <c r="G419" i="1"/>
  <c r="H419" i="1"/>
  <c r="I419" i="1"/>
  <c r="J419" i="1"/>
  <c r="F427" i="1"/>
  <c r="G427" i="1"/>
  <c r="H427" i="1"/>
  <c r="I427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G632" i="1"/>
  <c r="K257" i="1"/>
  <c r="K271" i="1"/>
  <c r="I257" i="1"/>
  <c r="I271" i="1"/>
  <c r="G257" i="1"/>
  <c r="G271" i="1"/>
  <c r="G164" i="2"/>
  <c r="C18" i="2"/>
  <c r="C26" i="10"/>
  <c r="H660" i="1"/>
  <c r="H664" i="1"/>
  <c r="I662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J617" i="1"/>
  <c r="E78" i="2"/>
  <c r="E81" i="2"/>
  <c r="J257" i="1"/>
  <c r="J271" i="1"/>
  <c r="J641" i="1"/>
  <c r="J639" i="1"/>
  <c r="K605" i="1"/>
  <c r="G648" i="1"/>
  <c r="J571" i="1"/>
  <c r="K571" i="1"/>
  <c r="D81" i="2"/>
  <c r="I169" i="1"/>
  <c r="G552" i="1"/>
  <c r="J644" i="1"/>
  <c r="J643" i="1"/>
  <c r="J476" i="1"/>
  <c r="H626" i="1"/>
  <c r="H476" i="1"/>
  <c r="H624" i="1"/>
  <c r="J624" i="1"/>
  <c r="F476" i="1"/>
  <c r="H622" i="1"/>
  <c r="J622" i="1"/>
  <c r="I476" i="1"/>
  <c r="H625" i="1"/>
  <c r="J625" i="1"/>
  <c r="G476" i="1"/>
  <c r="H623" i="1"/>
  <c r="J623" i="1"/>
  <c r="G338" i="1"/>
  <c r="G352" i="1"/>
  <c r="J140" i="1"/>
  <c r="F571" i="1"/>
  <c r="H257" i="1"/>
  <c r="H271" i="1"/>
  <c r="F664" i="1"/>
  <c r="F672" i="1"/>
  <c r="C4" i="10"/>
  <c r="I552" i="1"/>
  <c r="K549" i="1"/>
  <c r="K550" i="1"/>
  <c r="G22" i="2"/>
  <c r="K598" i="1"/>
  <c r="G647" i="1"/>
  <c r="J647" i="1"/>
  <c r="K545" i="1"/>
  <c r="J552" i="1"/>
  <c r="H552" i="1"/>
  <c r="C29" i="10"/>
  <c r="I661" i="1"/>
  <c r="C139" i="2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E128" i="2"/>
  <c r="F552" i="1"/>
  <c r="C35" i="10"/>
  <c r="D5" i="13"/>
  <c r="C5" i="13"/>
  <c r="E16" i="13"/>
  <c r="E33" i="13"/>
  <c r="D35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F66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G633" i="1"/>
  <c r="J633" i="1"/>
  <c r="C24" i="10"/>
  <c r="G660" i="1"/>
  <c r="G664" i="1"/>
  <c r="G31" i="13"/>
  <c r="G33" i="13"/>
  <c r="I338" i="1"/>
  <c r="I352" i="1"/>
  <c r="J650" i="1"/>
  <c r="C140" i="2"/>
  <c r="C141" i="2"/>
  <c r="C144" i="2"/>
  <c r="C145" i="2"/>
  <c r="L571" i="1"/>
  <c r="J632" i="1"/>
  <c r="I192" i="1"/>
  <c r="E91" i="2"/>
  <c r="G637" i="1"/>
  <c r="J637" i="1"/>
  <c r="D51" i="2"/>
  <c r="J654" i="1"/>
  <c r="J653" i="1"/>
  <c r="F144" i="2"/>
  <c r="F145" i="2"/>
  <c r="G21" i="2"/>
  <c r="G31" i="2"/>
  <c r="J32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G629" i="1"/>
  <c r="J629" i="1"/>
  <c r="C39" i="10"/>
  <c r="G627" i="1"/>
  <c r="J627" i="1"/>
  <c r="C36" i="10"/>
  <c r="G63" i="2"/>
  <c r="G104" i="2"/>
  <c r="J618" i="1"/>
  <c r="G667" i="1"/>
  <c r="G672" i="1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C28" i="10"/>
  <c r="G635" i="1"/>
  <c r="J635" i="1"/>
  <c r="C51" i="2"/>
  <c r="G631" i="1"/>
  <c r="J631" i="1"/>
  <c r="I664" i="1"/>
  <c r="I672" i="1"/>
  <c r="C7" i="10"/>
  <c r="D33" i="13"/>
  <c r="D36" i="13"/>
  <c r="J646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/>
  <c r="H656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<sst xmlns="http://schemas.openxmlformats.org/spreadsheetml/2006/main" count="3957" uniqueCount="915">
  <si>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</si>
  <si>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</si>
  <si>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</si>
  <si>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</si>
  <si>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</si>
  <si>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</si>
  <si>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</si>
  <si>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</si>
  <si>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</si>
  <si>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</si>
  <si>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</si>
  <si>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</si>
  <si>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</si>
  <si>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</si>
  <si>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</si>
  <si>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</si>
  <si>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</si>
  <si>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</si>
  <si>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</si>
  <si>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</si>
  <si>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</si>
  <si>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</si>
  <si>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</si>
  <si>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</si>
  <si>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</si>
  <si>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</si>
  <si>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</si>
  <si>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</si>
  <si>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</si>
  <si>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</si>
  <si>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</si>
  <si>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</si>
  <si>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</si>
  <si>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</si>
  <si>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</si>
  <si>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</si>
  <si>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</si>
  <si>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</si>
  <si>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</si>
  <si>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</si>
  <si>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</si>
  <si>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</si>
  <si>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</si>
  <si>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</si>
  <si>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</si>
  <si>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</si>
  <si>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</si>
  <si>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</si>
  <si>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</si>
  <si>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</si>
  <si>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</si>
  <si>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</si>
  <si>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</si>
  <si>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</si>
  <si>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</si>
  <si>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</si>
  <si>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</si>
  <si>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</si>
  <si>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</si>
  <si>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</si>
  <si>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</si>
  <si>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</si>
  <si>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</si>
  <si>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</si>
  <si>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</si>
  <si>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</si>
  <si>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</si>
  <si>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</si>
  <si>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</si>
  <si>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</si>
  <si>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</si>
  <si>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</si>
  <si>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</si>
  <si>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</si>
  <si>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</si>
  <si>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</si>
  <si>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</si>
  <si>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</si>
  <si>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</si>
  <si>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</si>
  <si>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</si>
  <si>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</si>
  <si>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</si>
  <si>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</si>
  <si>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</si>
  <si>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</si>
  <si>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</si>
  <si>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</si>
  <si>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</si>
  <si>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</si>
  <si>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</si>
  <si>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</si>
  <si>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</si>
  <si>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</si>
  <si>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</si>
  <si>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</si>
  <si>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</si>
  <si>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</si>
  <si>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</si>
  <si>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</si>
  <si>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</si>
  <si>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</si>
  <si>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</si>
  <si>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</si>
  <si>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</si>
  <si>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</si>
  <si>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</si>
  <si>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</si>
  <si>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</si>
  <si>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</si>
  <si>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</si>
  <si>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</si>
  <si>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</si>
  <si>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</si>
  <si>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</si>
  <si>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</si>
  <si>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</si>
  <si>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</si>
  <si>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</si>
  <si>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</si>
  <si>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</si>
  <si>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</si>
  <si>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</si>
  <si>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</si>
  <si>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</si>
  <si>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</si>
  <si>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</si>
  <si>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</si>
  <si>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</si>
  <si>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</si>
  <si>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</si>
  <si>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</si>
  <si>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</si>
  <si>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</si>
  <si>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</si>
  <si>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</si>
  <si>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</si>
  <si>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</si>
  <si>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</si>
  <si>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</si>
  <si>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</si>
  <si>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</si>
  <si>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</si>
  <si>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</si>
  <si>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</si>
  <si>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</si>
  <si>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</si>
  <si>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</si>
  <si>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</si>
  <si>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</si>
  <si>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</si>
  <si>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</si>
  <si>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</si>
  <si>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</si>
  <si>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</si>
  <si>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</si>
  <si>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</si>
  <si>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</si>
  <si>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</si>
  <si>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</si>
  <si>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</si>
  <si>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</si>
  <si>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</si>
  <si>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</si>
  <si>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</si>
  <si>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</si>
  <si>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</si>
  <si>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</si>
  <si>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</si>
  <si>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</si>
  <si>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</si>
  <si>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</si>
  <si>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</si>
  <si>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</si>
  <si>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</si>
  <si>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</si>
  <si>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</si>
  <si>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</si>
  <si>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</si>
  <si>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</si>
  <si>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</si>
  <si>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</si>
  <si>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</si>
  <si>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</si>
  <si>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</si>
  <si>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</si>
  <si>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</si>
  <si>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</si>
  <si>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</si>
  <si>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</si>
  <si>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</si>
  <si>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</si>
  <si>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</si>
  <si>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</si>
  <si>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</si>
  <si>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</si>
  <si>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</si>
  <si>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</si>
  <si>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</si>
  <si>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</si>
  <si>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</si>
  <si>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</si>
  <si>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</si>
  <si>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</si>
  <si>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</si>
  <si>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</si>
  <si>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</si>
  <si>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</si>
  <si>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</si>
  <si>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</si>
  <si>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</si>
  <si>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</si>
  <si>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</si>
  <si>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</si>
  <si>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</si>
  <si>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</si>
  <si>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</si>
  <si>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</si>
  <si>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</si>
  <si>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</si>
  <si>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</si>
  <si>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</si>
  <si>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</si>
  <si>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</si>
  <si>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</si>
  <si>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</si>
  <si>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</si>
  <si>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</si>
  <si>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</si>
  <si>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</si>
  <si>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</si>
  <si>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</si>
  <si>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</si>
  <si>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</si>
  <si>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</si>
  <si>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</si>
  <si>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</si>
  <si>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</si>
  <si>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</si>
  <si>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</si>
  <si>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</si>
  <si>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</si>
  <si>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</si>
  <si>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</si>
  <si>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</si>
  <si>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</si>
  <si>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</si>
  <si>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</si>
  <si>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</si>
  <si>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</si>
  <si>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</si>
  <si>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</si>
  <si>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</si>
  <si>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</si>
  <si>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</si>
  <si>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</si>
  <si>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</si>
  <si>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</si>
  <si>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</si>
  <si>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</si>
  <si>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</si>
  <si>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</si>
  <si>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</si>
  <si>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</si>
  <si>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</si>
  <si>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</si>
  <si>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</si>
  <si>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</si>
  <si>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</si>
  <si>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</si>
  <si>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</si>
  <si>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</si>
  <si>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</si>
  <si>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</si>
  <si>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</si>
  <si>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</si>
  <si>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</si>
  <si>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</si>
  <si>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</si>
  <si>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</si>
  <si>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</si>
  <si>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</si>
  <si>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</si>
  <si>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</si>
  <si>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</si>
  <si>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</si>
  <si>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</si>
  <si>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</si>
  <si>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</si>
  <si>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</si>
  <si>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</si>
  <si>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</si>
  <si>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</si>
  <si>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</si>
  <si>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</si>
  <si>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</si>
  <si>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</si>
  <si>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</si>
  <si>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</si>
  <si>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</si>
  <si>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</si>
  <si>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</si>
  <si>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</si>
  <si>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</si>
  <si>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</si>
  <si>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</si>
  <si>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</si>
  <si>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</si>
  <si>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</si>
  <si>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</si>
  <si>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</si>
  <si>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</si>
  <si>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</si>
  <si>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</si>
  <si>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</si>
  <si>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</si>
  <si>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</si>
  <si>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</si>
  <si>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</si>
  <si>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</si>
  <si>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</si>
  <si>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</si>
  <si>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</si>
  <si>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</si>
  <si>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</si>
  <si>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</si>
  <si>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</si>
  <si>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</si>
  <si>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</si>
  <si>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</si>
  <si>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</si>
  <si>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</si>
  <si>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</si>
  <si>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</si>
  <si>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</si>
  <si>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</si>
  <si>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</si>
  <si>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</si>
  <si>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</si>
  <si>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</si>
  <si>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</si>
  <si>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</si>
  <si>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</si>
  <si>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</si>
  <si>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</si>
  <si>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</si>
  <si>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</si>
  <si>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</si>
  <si>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</si>
  <si>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</si>
  <si>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</si>
  <si>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</si>
  <si>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</si>
  <si>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</si>
  <si>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</si>
  <si>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</si>
  <si>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</si>
  <si>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</si>
  <si>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</si>
  <si>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</si>
  <si>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</si>
  <si>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</si>
  <si>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</si>
  <si>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</si>
  <si>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</si>
  <si>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</si>
  <si>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</si>
  <si>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</si>
  <si>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</si>
  <si>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</si>
  <si>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</si>
  <si>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</si>
  <si>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</si>
  <si>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</si>
  <si>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</si>
  <si>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</si>
  <si>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</si>
  <si>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</si>
  <si>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</si>
  <si>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</si>
  <si>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</si>
  <si>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</si>
  <si>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</si>
  <si>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</si>
  <si>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</si>
  <si>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</si>
  <si>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</si>
  <si>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</si>
  <si>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</si>
  <si>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</si>
  <si>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</si>
  <si>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</si>
  <si>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</si>
  <si>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</si>
  <si>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</si>
  <si>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</si>
  <si>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</si>
  <si>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</si>
  <si>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</si>
  <si>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</si>
  <si>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</si>
  <si>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</si>
  <si>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</si>
  <si>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</si>
  <si>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</si>
  <si>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</si>
  <si>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</si>
  <si>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</si>
  <si>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</si>
  <si>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</si>
  <si>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</si>
  <si>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</si>
  <si>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</si>
  <si>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</si>
  <si>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</si>
  <si>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</si>
  <si>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</si>
  <si>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</si>
  <si>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</si>
  <si>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</si>
  <si>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</si>
  <si>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</si>
  <si>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</si>
  <si>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</si>
  <si>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</si>
  <si>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</si>
  <si>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</si>
  <si>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</si>
  <si>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</si>
  <si>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</si>
  <si>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</si>
  <si>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</si>
  <si>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</si>
  <si>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</si>
  <si>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</si>
  <si>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</si>
  <si>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</si>
  <si>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</si>
  <si>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</si>
  <si>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</si>
  <si>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</si>
  <si>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</si>
  <si>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</si>
  <si>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</si>
  <si>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</si>
  <si>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</si>
  <si>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</si>
  <si>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</si>
  <si>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</si>
  <si>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</si>
  <si>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</si>
  <si>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</si>
  <si>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</si>
  <si>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</si>
  <si>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</si>
  <si>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</si>
  <si>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</si>
  <si>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</si>
  <si>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</si>
  <si>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</si>
  <si>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</si>
  <si>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</si>
  <si>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</si>
  <si>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</si>
  <si>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</si>
  <si>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</si>
  <si>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</si>
  <si>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</si>
  <si>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</si>
  <si>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</si>
  <si>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</si>
  <si>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</si>
  <si>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</si>
  <si>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</si>
  <si>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</si>
  <si>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</si>
  <si>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</si>
  <si>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</si>
  <si>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</si>
  <si>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</si>
  <si>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</si>
  <si>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</si>
  <si>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</si>
  <si>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</si>
  <si>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</si>
  <si>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</si>
  <si>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</si>
  <si>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</si>
  <si>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</si>
  <si>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</si>
  <si>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</si>
  <si>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</si>
  <si>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</si>
  <si>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</si>
  <si>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</si>
  <si>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</si>
  <si>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</si>
  <si>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</si>
  <si>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</si>
  <si>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</si>
  <si>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</si>
  <si>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</si>
  <si>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</si>
  <si>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</si>
  <si>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</si>
  <si>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</si>
  <si>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</si>
  <si>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</si>
  <si>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</si>
  <si>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</si>
  <si>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</si>
  <si>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</si>
  <si>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</si>
  <si>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</si>
  <si>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</si>
  <si>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</si>
  <si>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</si>
  <si>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</si>
  <si>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</si>
  <si>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</si>
  <si>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</si>
  <si>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</si>
  <si>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</si>
  <si>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</si>
  <si>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</si>
  <si>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</si>
  <si>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</si>
  <si>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</si>
  <si>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</si>
  <si>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</si>
  <si>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</si>
  <si>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</si>
  <si>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</si>
  <si>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</si>
  <si>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</si>
  <si>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</si>
  <si>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</si>
  <si>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</si>
  <si>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</si>
  <si>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</si>
  <si>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</si>
  <si>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</si>
  <si>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</si>
  <si>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</si>
  <si>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</si>
  <si>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</si>
  <si>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</si>
  <si>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</si>
  <si>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</si>
  <si>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</si>
  <si>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</si>
  <si>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</si>
  <si>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</si>
  <si>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</si>
  <si>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</si>
  <si>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</si>
  <si>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</si>
  <si>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</si>
  <si>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</si>
  <si>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</si>
  <si>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</si>
  <si>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</si>
  <si>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</si>
  <si>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</si>
  <si>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</si>
  <si>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</si>
  <si>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</si>
  <si>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</si>
  <si>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</si>
  <si>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</si>
  <si>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</si>
  <si>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</si>
  <si>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</si>
  <si>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</si>
  <si>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</si>
  <si>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</si>
  <si>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</si>
  <si>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</si>
  <si>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</si>
  <si>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</si>
  <si>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</si>
  <si>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</si>
  <si>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</si>
  <si>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</si>
  <si>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</si>
  <si>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</si>
  <si>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</si>
  <si>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</si>
  <si>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</si>
  <si>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</si>
  <si>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</si>
  <si>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</si>
  <si>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</si>
  <si>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</si>
  <si>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</si>
  <si>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</si>
  <si>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</si>
  <si>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</si>
  <si>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</si>
  <si>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</si>
  <si>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</si>
  <si>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</si>
  <si>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</si>
  <si>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</si>
  <si>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</si>
  <si>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</si>
  <si>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</si>
  <si>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</si>
  <si>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</si>
  <si>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</si>
  <si>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</si>
  <si>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</si>
  <si>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</si>
  <si>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</si>
  <si>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</si>
  <si>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</si>
  <si>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</si>
  <si>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</si>
  <si>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</si>
  <si>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</si>
  <si>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</si>
  <si>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</si>
  <si>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</si>
  <si>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</si>
  <si>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</si>
  <si>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</si>
  <si>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</si>
  <si>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</si>
  <si>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</si>
  <si>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</si>
  <si>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</si>
  <si>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</si>
  <si>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</si>
  <si>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</si>
  <si>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</si>
  <si>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</si>
  <si>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</si>
  <si>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</si>
  <si>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</si>
  <si>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</si>
  <si>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</si>
  <si>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</si>
  <si>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</si>
  <si>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</si>
  <si>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</si>
  <si>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</si>
  <si>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</si>
  <si>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</si>
  <si>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</si>
  <si>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</si>
  <si>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</si>
  <si>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</si>
  <si>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</si>
  <si>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</si>
  <si>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</si>
  <si>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</si>
  <si>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</si>
  <si>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</si>
  <si>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</si>
  <si>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</si>
  <si>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</si>
  <si>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</si>
  <si>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</si>
  <si>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</si>
  <si>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</si>
  <si>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</si>
  <si>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</si>
  <si>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</si>
  <si>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</si>
  <si>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</si>
  <si>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</si>
  <si>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</si>
  <si>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</si>
  <si>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</si>
  <si>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</si>
  <si>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</si>
  <si>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</si>
  <si>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</si>
  <si>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</si>
  <si>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</si>
  <si>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</si>
  <si>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</si>
  <si>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</si>
  <si>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</si>
  <si>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</si>
  <si>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</si>
  <si>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</si>
  <si>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</si>
  <si>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</si>
  <si>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</si>
  <si>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</si>
  <si>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</si>
  <si>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</si>
  <si>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</si>
  <si>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</si>
  <si>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</si>
  <si>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</si>
  <si>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</si>
  <si>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</si>
  <si>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</si>
  <si>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</si>
  <si>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</si>
  <si>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</si>
  <si>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</si>
  <si>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</si>
  <si>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</si>
  <si>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</si>
  <si>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</si>
  <si>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</si>
  <si>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</si>
  <si>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</si>
  <si>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</si>
  <si>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</si>
  <si>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</si>
  <si>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</si>
  <si>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</si>
  <si>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</si>
  <si>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</si>
  <si>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</si>
  <si>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</si>
  <si>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</si>
  <si>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</si>
  <si>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</si>
  <si>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</si>
  <si>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</si>
  <si>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</si>
  <si>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</si>
  <si>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</si>
  <si>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</si>
  <si>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</si>
  <si>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</si>
  <si>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</si>
  <si>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</si>
  <si>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</si>
  <si>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</si>
  <si>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</si>
  <si>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</si>
  <si>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</si>
  <si>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</si>
  <si>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</si>
  <si>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</si>
  <si>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</si>
  <si>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</si>
  <si>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</si>
  <si>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</si>
  <si>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</si>
  <si>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</si>
  <si>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</si>
  <si>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</si>
  <si>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</si>
  <si>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</si>
  <si>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</si>
  <si>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</si>
  <si>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</si>
  <si>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</si>
  <si>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</si>
  <si>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</si>
  <si>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</si>
  <si>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</si>
  <si>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</si>
  <si>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</si>
  <si>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</si>
  <si>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</si>
  <si>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</si>
  <si>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</si>
  <si>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</si>
  <si>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</si>
  <si>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</si>
  <si>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</si>
  <si>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</si>
  <si>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</si>
  <si>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</si>
  <si>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</si>
  <si>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</si>
  <si>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</si>
  <si>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</si>
  <si>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</si>
  <si>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</si>
  <si>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</si>
  <si>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</si>
  <si>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</si>
  <si>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</si>
  <si>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</si>
  <si>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</si>
  <si>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</si>
  <si>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</si>
  <si>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</si>
  <si>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</si>
  <si>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</si>
  <si>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</si>
  <si>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</si>
  <si>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</si>
  <si>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</si>
  <si>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</si>
  <si>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</si>
  <si>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</si>
  <si>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</si>
  <si>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</si>
  <si>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</si>
  <si>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</si>
  <si>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</si>
  <si>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</si>
  <si>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</si>
  <si>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</si>
  <si>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</si>
  <si>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</si>
  <si>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</si>
  <si>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</si>
  <si>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</si>
  <si>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</si>
  <si>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</si>
  <si>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</si>
  <si>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</si>
  <si>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</si>
  <si>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</si>
  <si>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</si>
  <si>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</si>
  <si>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</si>
  <si>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</si>
  <si>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</si>
  <si>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</si>
  <si>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</si>
  <si>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</si>
  <si>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</si>
  <si>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</si>
  <si>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</si>
  <si>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</si>
  <si>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</si>
  <si>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</si>
  <si>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</si>
  <si>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</si>
  <si>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</si>
  <si>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</si>
  <si>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</si>
  <si>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</si>
  <si>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</si>
  <si>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</si>
  <si>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</si>
  <si>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</si>
  <si>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</si>
  <si>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</si>
  <si>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</si>
  <si>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</si>
  <si>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</si>
  <si>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</si>
  <si>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</si>
  <si>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</si>
  <si>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</si>
  <si>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</si>
  <si>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</si>
  <si>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</si>
  <si>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</si>
  <si>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</si>
  <si>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</si>
  <si>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</si>
  <si>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</si>
  <si>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</si>
  <si>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</si>
  <si>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</si>
  <si>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</si>
  <si>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</si>
  <si>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</si>
  <si>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</si>
  <si>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</si>
  <si>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</si>
  <si>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</si>
  <si>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</si>
  <si>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</si>
  <si>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</si>
  <si>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</si>
  <si>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</si>
  <si>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</si>
  <si>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</si>
  <si>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</si>
  <si>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</si>
  <si>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</si>
  <si>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</si>
  <si>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</si>
  <si>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</si>
  <si>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</si>
  <si>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</si>
  <si>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</si>
  <si>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</si>
  <si>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</si>
  <si>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</si>
  <si>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</si>
  <si>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</si>
  <si>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</si>
  <si>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</si>
  <si>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</si>
  <si>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</si>
  <si>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</si>
  <si>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</si>
  <si>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</si>
  <si>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</si>
  <si>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</si>
  <si>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</si>
  <si>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</si>
  <si>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</si>
  <si>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</si>
  <si>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</si>
  <si>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</si>
  <si>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</si>
  <si>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</si>
  <si>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</si>
  <si>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</si>
  <si>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</si>
  <si>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</si>
  <si>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</si>
  <si>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</si>
  <si>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</si>
  <si>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HOPKINTON SCHOOL DISTRICT</t>
  </si>
  <si>
    <t>5/07</t>
  </si>
  <si>
    <t>8/17</t>
  </si>
  <si>
    <t>3.5-5.0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</si>
</sst>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5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263</v>
      </c>
      <c r="C2" s="21">
        <v>263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713402</v>
      </c>
      <c r="G9" s="18">
        <v>100</v>
      </c>
      <c r="H9" s="18"/>
      <c r="I9" s="18">
        <v>0</v>
      </c>
      <c r="J9" s="67">
        <f>SUM(I439)</f>
        <v>400154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240351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50030</v>
      </c>
      <c r="G12" s="18">
        <v>5974</v>
      </c>
      <c r="H12" s="18">
        <v>34958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4536</v>
      </c>
      <c r="H13" s="18">
        <f>131260-36</f>
        <v>131224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24276</v>
      </c>
      <c r="G14" s="18">
        <v>782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42681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1070740</v>
      </c>
      <c r="G19" s="41">
        <f>SUM(G9:G18)</f>
        <v>11392</v>
      </c>
      <c r="H19" s="41">
        <f>SUM(H9:H18)</f>
        <v>166182</v>
      </c>
      <c r="I19" s="41">
        <f>SUM(I9:I18)</f>
        <v>0</v>
      </c>
      <c r="J19" s="41">
        <f>SUM(J9:J18)</f>
        <v>400154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-20620</v>
      </c>
      <c r="G23" s="18">
        <v>0</v>
      </c>
      <c r="H23" s="18">
        <f>120646-9065-36</f>
        <v>111545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67234</v>
      </c>
      <c r="G24" s="18">
        <v>182</v>
      </c>
      <c r="H24" s="18">
        <f>535+5098</f>
        <v>5633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39972</v>
      </c>
      <c r="G28" s="18"/>
      <c r="H28" s="18">
        <v>5516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1850-878</f>
        <v>972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2869</v>
      </c>
      <c r="G30" s="18">
        <v>11210</v>
      </c>
      <c r="H30" s="18">
        <f>34958-535+9065</f>
        <v>43488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90427</v>
      </c>
      <c r="G32" s="41">
        <f>SUM(G22:G31)</f>
        <v>11392</v>
      </c>
      <c r="H32" s="41">
        <f>SUM(H22:H31)</f>
        <v>166182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42681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287000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400154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70256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470376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980313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400154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1070740</v>
      </c>
      <c r="G52" s="41">
        <f>G51+G32</f>
        <v>11392</v>
      </c>
      <c r="H52" s="41">
        <f>H51+H32</f>
        <v>166182</v>
      </c>
      <c r="I52" s="41">
        <f>I51+I32</f>
        <v>0</v>
      </c>
      <c r="J52" s="41">
        <f>J51+J32</f>
        <v>400154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12862749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12862749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56186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4122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977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61285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227</v>
      </c>
      <c r="G96" s="18"/>
      <c r="H96" s="18"/>
      <c r="I96" s="18">
        <v>0</v>
      </c>
      <c r="J96" s="18">
        <v>237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170567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7980+19385+2857+86</f>
        <v>30308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5498</v>
      </c>
      <c r="G101" s="18"/>
      <c r="H101" s="18">
        <f>3299+1275</f>
        <v>4574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134240-23003-2284</f>
        <v>108953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873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65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185716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14708</v>
      </c>
      <c r="G110" s="18"/>
      <c r="H110" s="18">
        <f>2483+4125+550+1179+319+500+2414+1225+3350+2284</f>
        <v>18429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237395</v>
      </c>
      <c r="G111" s="41">
        <f>SUM(G96:G110)</f>
        <v>170567</v>
      </c>
      <c r="H111" s="41">
        <f>SUM(H96:H110)</f>
        <v>131956</v>
      </c>
      <c r="I111" s="41">
        <f>SUM(I96:I110)</f>
        <v>0</v>
      </c>
      <c r="J111" s="41">
        <f>SUM(J96:J110)</f>
        <v>237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13161429</v>
      </c>
      <c r="G112" s="41">
        <f>G60+G111</f>
        <v>170567</v>
      </c>
      <c r="H112" s="41">
        <f>H60+H79+H94+H111</f>
        <v>131956</v>
      </c>
      <c r="I112" s="41">
        <f>I60+I111</f>
        <v>0</v>
      </c>
      <c r="J112" s="41">
        <f>J60+J111</f>
        <v>237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1939804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1478163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3417967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149286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64870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5087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963+658+1021+118+211+275</f>
        <v>3246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3764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223007</v>
      </c>
      <c r="G136" s="41">
        <f>SUM(G123:G135)</f>
        <v>3246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3640974</v>
      </c>
      <c r="G140" s="41">
        <f>G121+SUM(G136:G137)</f>
        <v>3246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2110+42406+2365+14454+773</f>
        <v>62108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18464+2649+31666</f>
        <v>52779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12231+17430+12419+18070+253+4576+4948+6423</f>
        <v>76350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4350+197116+4443-36</f>
        <v>205873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211057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211057</v>
      </c>
      <c r="G162" s="41">
        <f>SUM(G150:G161)</f>
        <v>76350</v>
      </c>
      <c r="H162" s="41">
        <f>SUM(H150:H161)</f>
        <v>320760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211057</v>
      </c>
      <c r="G169" s="41">
        <f>G147+G162+SUM(G163:G168)</f>
        <v>76350</v>
      </c>
      <c r="H169" s="41">
        <f>H147+H162+SUM(H163:H168)</f>
        <v>320760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123169</v>
      </c>
      <c r="H179" s="18">
        <v>2284</v>
      </c>
      <c r="I179" s="18">
        <v>0</v>
      </c>
      <c r="J179" s="18">
        <v>121000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417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417</v>
      </c>
      <c r="G183" s="41">
        <f>SUM(G179:G182)</f>
        <v>123169</v>
      </c>
      <c r="H183" s="41">
        <f>SUM(H179:H182)</f>
        <v>2284</v>
      </c>
      <c r="I183" s="41">
        <f>SUM(I179:I182)</f>
        <v>0</v>
      </c>
      <c r="J183" s="41">
        <f>SUM(J179:J182)</f>
        <v>121000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>
        <v>0</v>
      </c>
      <c r="H186" s="18"/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417</v>
      </c>
      <c r="G192" s="41">
        <f>G183+SUM(G188:G191)</f>
        <v>123169</v>
      </c>
      <c r="H192" s="41">
        <f>+H183+SUM(H188:H191)</f>
        <v>2284</v>
      </c>
      <c r="I192" s="41">
        <f>I177+I183+SUM(I188:I191)</f>
        <v>0</v>
      </c>
      <c r="J192" s="41">
        <f>J183</f>
        <v>121000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17013877</v>
      </c>
      <c r="G193" s="47">
        <f>G112+G140+G169+G192</f>
        <v>373332</v>
      </c>
      <c r="H193" s="47">
        <f>H112+H140+H169+H192</f>
        <v>455000</v>
      </c>
      <c r="I193" s="47">
        <f>I112+I140+I169+I192</f>
        <v>0</v>
      </c>
      <c r="J193" s="47">
        <f>J112+J140+J192</f>
        <v>121237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2300999+161141</f>
        <v>2462140</v>
      </c>
      <c r="G197" s="18">
        <f>1072518+59827</f>
        <v>1132345</v>
      </c>
      <c r="H197" s="18">
        <f>944+7412</f>
        <v>8356</v>
      </c>
      <c r="I197" s="18">
        <f>38038+16765</f>
        <v>54803</v>
      </c>
      <c r="J197" s="18">
        <f>4893+10438</f>
        <v>15331</v>
      </c>
      <c r="K197" s="18">
        <f>1343+87</f>
        <v>1430</v>
      </c>
      <c r="L197" s="19">
        <f>SUM(F197:K197)</f>
        <v>3674405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950454+16024</f>
        <v>966478</v>
      </c>
      <c r="G198" s="18">
        <f>322001+2698</f>
        <v>324699</v>
      </c>
      <c r="H198" s="18">
        <f>43529+123098</f>
        <v>166627</v>
      </c>
      <c r="I198" s="18">
        <f>2509+2934</f>
        <v>5443</v>
      </c>
      <c r="J198" s="18">
        <f>853+6828</f>
        <v>7681</v>
      </c>
      <c r="K198" s="18">
        <v>287</v>
      </c>
      <c r="L198" s="19">
        <f>SUM(F198:K198)</f>
        <v>1471215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7304</v>
      </c>
      <c r="G200" s="18">
        <v>1488</v>
      </c>
      <c r="H200" s="18"/>
      <c r="I200" s="18"/>
      <c r="J200" s="18"/>
      <c r="K200" s="18">
        <v>0</v>
      </c>
      <c r="L200" s="19">
        <f>SUM(F200:K200)</f>
        <v>8792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383227+126391</f>
        <v>509618</v>
      </c>
      <c r="G202" s="18">
        <f>172571+45066</f>
        <v>217637</v>
      </c>
      <c r="H202" s="18">
        <f>34438+1253</f>
        <v>35691</v>
      </c>
      <c r="I202" s="18">
        <f>3411+486</f>
        <v>3897</v>
      </c>
      <c r="J202" s="18">
        <f>540+1230</f>
        <v>1770</v>
      </c>
      <c r="K202" s="18">
        <v>0</v>
      </c>
      <c r="L202" s="19">
        <f t="shared" ref="L202:L208" si="0">SUM(F202:K202)</f>
        <v>768613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112529+107000</f>
        <v>219529</v>
      </c>
      <c r="G203" s="18">
        <f>29788+45368</f>
        <v>75156</v>
      </c>
      <c r="H203" s="18">
        <f>40252+3015+38001+7297-5</f>
        <v>88560</v>
      </c>
      <c r="I203" s="18">
        <f>21827+16661</f>
        <v>38488</v>
      </c>
      <c r="J203" s="18">
        <f>16659+36515</f>
        <v>53174</v>
      </c>
      <c r="K203" s="18">
        <f>2790+6921</f>
        <v>9711</v>
      </c>
      <c r="L203" s="19">
        <f t="shared" si="0"/>
        <v>484618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175745</v>
      </c>
      <c r="G204" s="18">
        <v>79257</v>
      </c>
      <c r="H204" s="18">
        <f>27818+539+11252</f>
        <v>39609</v>
      </c>
      <c r="I204" s="18">
        <v>6012</v>
      </c>
      <c r="J204" s="18">
        <v>670</v>
      </c>
      <c r="K204" s="18">
        <v>8286</v>
      </c>
      <c r="L204" s="19">
        <f t="shared" si="0"/>
        <v>309579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257161</v>
      </c>
      <c r="G205" s="18">
        <v>120779</v>
      </c>
      <c r="H205" s="18">
        <v>16654</v>
      </c>
      <c r="I205" s="18">
        <v>1238</v>
      </c>
      <c r="J205" s="18">
        <v>0</v>
      </c>
      <c r="K205" s="18">
        <v>1903</v>
      </c>
      <c r="L205" s="19">
        <f t="shared" si="0"/>
        <v>397735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102405</v>
      </c>
      <c r="G206" s="18">
        <v>40498</v>
      </c>
      <c r="H206" s="18">
        <f>23490+4139</f>
        <v>27629</v>
      </c>
      <c r="I206" s="18">
        <v>5455</v>
      </c>
      <c r="J206" s="18"/>
      <c r="K206" s="18"/>
      <c r="L206" s="19">
        <f t="shared" si="0"/>
        <v>175987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214796+31166</f>
        <v>245962</v>
      </c>
      <c r="G207" s="18">
        <f>111736+10987</f>
        <v>122723</v>
      </c>
      <c r="H207" s="18">
        <f>67374+4281+2752+18335</f>
        <v>92742</v>
      </c>
      <c r="I207" s="18">
        <f>169700+8497</f>
        <v>178197</v>
      </c>
      <c r="J207" s="18">
        <f>20854+140</f>
        <v>20994</v>
      </c>
      <c r="K207" s="18">
        <v>0</v>
      </c>
      <c r="L207" s="19">
        <f t="shared" si="0"/>
        <v>660618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3701+17883</f>
        <v>21584</v>
      </c>
      <c r="G208" s="18">
        <f>565+6506</f>
        <v>7071</v>
      </c>
      <c r="H208" s="18">
        <f>2660+1313+355789</f>
        <v>359762</v>
      </c>
      <c r="I208" s="18">
        <v>4310</v>
      </c>
      <c r="J208" s="18"/>
      <c r="K208" s="18">
        <v>382</v>
      </c>
      <c r="L208" s="19">
        <f t="shared" si="0"/>
        <v>393109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4967926</v>
      </c>
      <c r="G211" s="41">
        <f t="shared" si="1"/>
        <v>2121653</v>
      </c>
      <c r="H211" s="41">
        <f t="shared" si="1"/>
        <v>835630</v>
      </c>
      <c r="I211" s="41">
        <f t="shared" si="1"/>
        <v>297843</v>
      </c>
      <c r="J211" s="41">
        <f t="shared" si="1"/>
        <v>99620</v>
      </c>
      <c r="K211" s="41">
        <f t="shared" si="1"/>
        <v>21999</v>
      </c>
      <c r="L211" s="41">
        <f t="shared" si="1"/>
        <v>8344671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727774+19644</f>
        <v>747418</v>
      </c>
      <c r="G215" s="18">
        <f>311957+7150</f>
        <v>319107</v>
      </c>
      <c r="H215" s="18">
        <f>901+2073</f>
        <v>2974</v>
      </c>
      <c r="I215" s="18">
        <f>24319+132</f>
        <v>24451</v>
      </c>
      <c r="J215" s="18">
        <f>3177+541</f>
        <v>3718</v>
      </c>
      <c r="K215" s="18">
        <v>335</v>
      </c>
      <c r="L215" s="19">
        <f>SUM(F215:K215)</f>
        <v>1098003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275057+4483</f>
        <v>279540</v>
      </c>
      <c r="G216" s="18">
        <f>123967+755</f>
        <v>124722</v>
      </c>
      <c r="H216" s="18">
        <f>15875+182</f>
        <v>16057</v>
      </c>
      <c r="I216" s="18">
        <f>320+821</f>
        <v>1141</v>
      </c>
      <c r="J216" s="18">
        <f>306+1910</f>
        <v>2216</v>
      </c>
      <c r="K216" s="18">
        <v>80</v>
      </c>
      <c r="L216" s="19">
        <f>SUM(F216:K216)</f>
        <v>423756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37401</v>
      </c>
      <c r="G218" s="18">
        <v>10577</v>
      </c>
      <c r="H218" s="18">
        <v>8460</v>
      </c>
      <c r="I218" s="18">
        <v>1536</v>
      </c>
      <c r="J218" s="18">
        <v>768</v>
      </c>
      <c r="K218" s="18">
        <v>0</v>
      </c>
      <c r="L218" s="19">
        <f>SUM(F218:K218)</f>
        <v>58742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60838+35357</f>
        <v>96195</v>
      </c>
      <c r="G220" s="18">
        <f>27597+12607</f>
        <v>40204</v>
      </c>
      <c r="H220" s="18">
        <f>28+7805+351</f>
        <v>8184</v>
      </c>
      <c r="I220" s="18">
        <f>858+136</f>
        <v>994</v>
      </c>
      <c r="J220" s="18">
        <f>27+344</f>
        <v>371</v>
      </c>
      <c r="K220" s="18">
        <v>0</v>
      </c>
      <c r="L220" s="19">
        <f t="shared" ref="L220:L226" si="2">SUM(F220:K220)</f>
        <v>145948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26084+29933</f>
        <v>56017</v>
      </c>
      <c r="G221" s="18">
        <f>13892+12691</f>
        <v>26583</v>
      </c>
      <c r="H221" s="18">
        <f>6489+843+10631+2041</f>
        <v>20004</v>
      </c>
      <c r="I221" s="18">
        <f>6888+4661</f>
        <v>11549</v>
      </c>
      <c r="J221" s="18">
        <f>6307+10215</f>
        <v>16522</v>
      </c>
      <c r="K221" s="18">
        <f>420+1936</f>
        <v>2356</v>
      </c>
      <c r="L221" s="19">
        <f t="shared" si="2"/>
        <v>133031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49164</v>
      </c>
      <c r="G222" s="18">
        <v>22172</v>
      </c>
      <c r="H222" s="18">
        <f>7782+151+3148-1</f>
        <v>11080</v>
      </c>
      <c r="I222" s="18">
        <v>1682</v>
      </c>
      <c r="J222" s="18">
        <v>187</v>
      </c>
      <c r="K222" s="18">
        <v>2318</v>
      </c>
      <c r="L222" s="19">
        <f t="shared" si="2"/>
        <v>86603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89169</v>
      </c>
      <c r="G223" s="18">
        <v>46422</v>
      </c>
      <c r="H223" s="18">
        <v>4999</v>
      </c>
      <c r="I223" s="18">
        <v>910</v>
      </c>
      <c r="J223" s="18">
        <v>0</v>
      </c>
      <c r="K223" s="18">
        <v>1858</v>
      </c>
      <c r="L223" s="19">
        <f t="shared" si="2"/>
        <v>143358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28647</v>
      </c>
      <c r="G224" s="18">
        <v>11329</v>
      </c>
      <c r="H224" s="18">
        <f>6571+1158</f>
        <v>7729</v>
      </c>
      <c r="I224" s="18">
        <v>1526</v>
      </c>
      <c r="J224" s="18"/>
      <c r="K224" s="18"/>
      <c r="L224" s="19">
        <f t="shared" si="2"/>
        <v>49231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39878+8719</f>
        <v>48597</v>
      </c>
      <c r="G225" s="18">
        <f>16420+3074</f>
        <v>19494</v>
      </c>
      <c r="H225" s="18">
        <f>18167+1198+770+5129</f>
        <v>25264</v>
      </c>
      <c r="I225" s="18">
        <f>50641+2377</f>
        <v>53018</v>
      </c>
      <c r="J225" s="18">
        <f>12589+39</f>
        <v>12628</v>
      </c>
      <c r="K225" s="18">
        <v>0</v>
      </c>
      <c r="L225" s="19">
        <f t="shared" si="2"/>
        <v>159001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385+5003</f>
        <v>5388</v>
      </c>
      <c r="G226" s="18">
        <f>69+1820</f>
        <v>1889</v>
      </c>
      <c r="H226" s="18">
        <f>11125+367+63081</f>
        <v>74573</v>
      </c>
      <c r="I226" s="18">
        <v>1206</v>
      </c>
      <c r="J226" s="18"/>
      <c r="K226" s="18">
        <v>107</v>
      </c>
      <c r="L226" s="19">
        <f t="shared" si="2"/>
        <v>83163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1437536</v>
      </c>
      <c r="G229" s="41">
        <f>SUM(G215:G228)</f>
        <v>622499</v>
      </c>
      <c r="H229" s="41">
        <f>SUM(H215:H228)</f>
        <v>179324</v>
      </c>
      <c r="I229" s="41">
        <f>SUM(I215:I228)</f>
        <v>98013</v>
      </c>
      <c r="J229" s="41">
        <f>SUM(J215:J228)</f>
        <v>36410</v>
      </c>
      <c r="K229" s="41">
        <f t="shared" si="3"/>
        <v>7054</v>
      </c>
      <c r="L229" s="41">
        <f t="shared" si="3"/>
        <v>2380836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1505262+39892</f>
        <v>1545154</v>
      </c>
      <c r="G233" s="18">
        <f>692004+14262</f>
        <v>706266</v>
      </c>
      <c r="H233" s="18">
        <f>10242+13605</f>
        <v>23847</v>
      </c>
      <c r="I233" s="18">
        <f>33210+269</f>
        <v>33479</v>
      </c>
      <c r="J233" s="18">
        <f>11396+1100</f>
        <v>12496</v>
      </c>
      <c r="K233" s="18">
        <v>879</v>
      </c>
      <c r="L233" s="19">
        <f>SUM(F233:K233)</f>
        <v>2322121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508503+31278</f>
        <v>539781</v>
      </c>
      <c r="G234" s="18">
        <f>213835+3391</f>
        <v>217226</v>
      </c>
      <c r="H234" s="18">
        <f>3047+34165</f>
        <v>37212</v>
      </c>
      <c r="I234" s="18">
        <f>407+1669</f>
        <v>2076</v>
      </c>
      <c r="J234" s="18">
        <f>234+3885</f>
        <v>4119</v>
      </c>
      <c r="K234" s="18">
        <v>163</v>
      </c>
      <c r="L234" s="19">
        <f>SUM(F234:K234)</f>
        <v>800577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38412</v>
      </c>
      <c r="I235" s="18"/>
      <c r="J235" s="18"/>
      <c r="K235" s="18"/>
      <c r="L235" s="19">
        <f>SUM(F235:K235)</f>
        <v>38412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171561</v>
      </c>
      <c r="G236" s="18">
        <v>36692</v>
      </c>
      <c r="H236" s="18">
        <v>56878</v>
      </c>
      <c r="I236" s="18">
        <v>10424</v>
      </c>
      <c r="J236" s="18">
        <v>4096</v>
      </c>
      <c r="K236" s="18">
        <v>3225</v>
      </c>
      <c r="L236" s="19">
        <f>SUM(F236:K236)</f>
        <v>282876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220284+71923</f>
        <v>292207</v>
      </c>
      <c r="G238" s="18">
        <f>87974+25645</f>
        <v>113619</v>
      </c>
      <c r="H238" s="18">
        <f>66+9561+713</f>
        <v>10340</v>
      </c>
      <c r="I238" s="18">
        <f>4355+277</f>
        <v>4632</v>
      </c>
      <c r="J238" s="18">
        <f>63+700</f>
        <v>763</v>
      </c>
      <c r="K238" s="18">
        <v>25</v>
      </c>
      <c r="L238" s="19">
        <f t="shared" ref="L238:L244" si="4">SUM(F238:K238)</f>
        <v>421586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63041+60888</f>
        <v>123929</v>
      </c>
      <c r="G239" s="18">
        <f>32868+25816</f>
        <v>58684</v>
      </c>
      <c r="H239" s="18">
        <f>20461+1716+21625+4152</f>
        <v>47954</v>
      </c>
      <c r="I239" s="18">
        <f>17934+9480</f>
        <v>27414</v>
      </c>
      <c r="J239" s="18">
        <f>6169+20779</f>
        <v>26948</v>
      </c>
      <c r="K239" s="18">
        <f>910+3939</f>
        <v>4849</v>
      </c>
      <c r="L239" s="19">
        <f t="shared" si="4"/>
        <v>289778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100007</v>
      </c>
      <c r="G240" s="18">
        <v>45101</v>
      </c>
      <c r="H240" s="18">
        <f>15830+307+6403</f>
        <v>22540</v>
      </c>
      <c r="I240" s="18">
        <v>3421</v>
      </c>
      <c r="J240" s="18">
        <v>381</v>
      </c>
      <c r="K240" s="18">
        <v>4715</v>
      </c>
      <c r="L240" s="19">
        <f t="shared" si="4"/>
        <v>176165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179730</v>
      </c>
      <c r="G241" s="18">
        <v>86131</v>
      </c>
      <c r="H241" s="18">
        <v>11064</v>
      </c>
      <c r="I241" s="18">
        <v>11384</v>
      </c>
      <c r="J241" s="18">
        <v>0</v>
      </c>
      <c r="K241" s="18">
        <v>4000</v>
      </c>
      <c r="L241" s="19">
        <f t="shared" si="4"/>
        <v>292309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58273</v>
      </c>
      <c r="G242" s="18">
        <v>23045</v>
      </c>
      <c r="H242" s="18">
        <f>13367+2355+1</f>
        <v>15723</v>
      </c>
      <c r="I242" s="18">
        <v>3104</v>
      </c>
      <c r="J242" s="18"/>
      <c r="K242" s="18"/>
      <c r="L242" s="19">
        <f t="shared" si="4"/>
        <v>100145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164421+17735</f>
        <v>182156</v>
      </c>
      <c r="G243" s="18">
        <f>66955+6252</f>
        <v>73207</v>
      </c>
      <c r="H243" s="18">
        <f>41848+2436+1566+10434</f>
        <v>56284</v>
      </c>
      <c r="I243" s="18">
        <f>118601+4835</f>
        <v>123436</v>
      </c>
      <c r="J243" s="18">
        <f>31893+79</f>
        <v>31972</v>
      </c>
      <c r="K243" s="18">
        <v>0</v>
      </c>
      <c r="L243" s="19">
        <f t="shared" si="4"/>
        <v>467055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123+10176</f>
        <v>10299</v>
      </c>
      <c r="G244" s="18">
        <f>22+3702</f>
        <v>3724</v>
      </c>
      <c r="H244" s="18">
        <f>43685+747+157836</f>
        <v>202268</v>
      </c>
      <c r="I244" s="18">
        <f>106+2452</f>
        <v>2558</v>
      </c>
      <c r="J244" s="18">
        <v>217</v>
      </c>
      <c r="K244" s="18">
        <v>0</v>
      </c>
      <c r="L244" s="19">
        <f t="shared" si="4"/>
        <v>219066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3203097</v>
      </c>
      <c r="G247" s="41">
        <f t="shared" si="5"/>
        <v>1363695</v>
      </c>
      <c r="H247" s="41">
        <f t="shared" si="5"/>
        <v>522522</v>
      </c>
      <c r="I247" s="41">
        <f t="shared" si="5"/>
        <v>221928</v>
      </c>
      <c r="J247" s="41">
        <f t="shared" si="5"/>
        <v>80992</v>
      </c>
      <c r="K247" s="41">
        <f t="shared" si="5"/>
        <v>17856</v>
      </c>
      <c r="L247" s="41">
        <f t="shared" si="5"/>
        <v>5410090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>
        <v>53460</v>
      </c>
      <c r="K255" s="18"/>
      <c r="L255" s="19">
        <f t="shared" si="6"/>
        <v>53460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53460</v>
      </c>
      <c r="K256" s="41">
        <f t="shared" si="7"/>
        <v>0</v>
      </c>
      <c r="L256" s="41">
        <f>SUM(F256:K256)</f>
        <v>53460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9608559</v>
      </c>
      <c r="G257" s="41">
        <f t="shared" si="8"/>
        <v>4107847</v>
      </c>
      <c r="H257" s="41">
        <f t="shared" si="8"/>
        <v>1537476</v>
      </c>
      <c r="I257" s="41">
        <f t="shared" si="8"/>
        <v>617784</v>
      </c>
      <c r="J257" s="41">
        <f t="shared" si="8"/>
        <v>270482</v>
      </c>
      <c r="K257" s="41">
        <f t="shared" si="8"/>
        <v>46909</v>
      </c>
      <c r="L257" s="41">
        <f t="shared" si="8"/>
        <v>16189057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465000</v>
      </c>
      <c r="L260" s="19">
        <f>SUM(F260:K260)</f>
        <v>465000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78800</v>
      </c>
      <c r="L261" s="19">
        <f>SUM(F261:K261)</f>
        <v>78800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123169</v>
      </c>
      <c r="L263" s="19">
        <f>SUM(F263:K263)</f>
        <v>123169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2284</v>
      </c>
      <c r="L264" s="19">
        <f t="shared" ref="L264:L270" si="9">SUM(F264:K264)</f>
        <v>2284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121000</v>
      </c>
      <c r="L266" s="19">
        <f t="shared" si="9"/>
        <v>121000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790253</v>
      </c>
      <c r="L270" s="41">
        <f t="shared" si="9"/>
        <v>790253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9608559</v>
      </c>
      <c r="G271" s="42">
        <f t="shared" si="11"/>
        <v>4107847</v>
      </c>
      <c r="H271" s="42">
        <f t="shared" si="11"/>
        <v>1537476</v>
      </c>
      <c r="I271" s="42">
        <f t="shared" si="11"/>
        <v>617784</v>
      </c>
      <c r="J271" s="42">
        <f t="shared" si="11"/>
        <v>270482</v>
      </c>
      <c r="K271" s="42">
        <f t="shared" si="11"/>
        <v>837162</v>
      </c>
      <c r="L271" s="42">
        <f t="shared" si="11"/>
        <v>16979310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28594+73970</f>
        <v>102564</v>
      </c>
      <c r="G276" s="18">
        <f>16695+5639</f>
        <v>22334</v>
      </c>
      <c r="H276" s="18">
        <v>2110</v>
      </c>
      <c r="I276" s="18">
        <f>11932+6033</f>
        <v>17965</v>
      </c>
      <c r="J276" s="18">
        <v>1066</v>
      </c>
      <c r="K276" s="18">
        <v>2496</v>
      </c>
      <c r="L276" s="19">
        <f>SUM(F276:K276)</f>
        <v>148535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93203</v>
      </c>
      <c r="G277" s="18">
        <v>43730</v>
      </c>
      <c r="H277" s="18">
        <v>4408</v>
      </c>
      <c r="I277" s="18">
        <v>743</v>
      </c>
      <c r="J277" s="18">
        <f>2291+680</f>
        <v>2971</v>
      </c>
      <c r="K277" s="18"/>
      <c r="L277" s="19">
        <f>SUM(F277:K277)</f>
        <v>145055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638</v>
      </c>
      <c r="J281" s="18">
        <f>392+309</f>
        <v>701</v>
      </c>
      <c r="K281" s="18"/>
      <c r="L281" s="19">
        <f t="shared" ref="L281:L287" si="12">SUM(F281:K281)</f>
        <v>1339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7829</v>
      </c>
      <c r="G282" s="18">
        <v>1697</v>
      </c>
      <c r="H282" s="18">
        <f>23978+68</f>
        <v>24046</v>
      </c>
      <c r="I282" s="18">
        <f>1502+640</f>
        <v>2142</v>
      </c>
      <c r="J282" s="18"/>
      <c r="K282" s="18">
        <v>541</v>
      </c>
      <c r="L282" s="19">
        <f t="shared" si="12"/>
        <v>36255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>
        <v>270</v>
      </c>
      <c r="J283" s="18"/>
      <c r="K283" s="18"/>
      <c r="L283" s="19">
        <f t="shared" si="12"/>
        <v>270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3317</v>
      </c>
      <c r="I287" s="18"/>
      <c r="J287" s="18"/>
      <c r="K287" s="18"/>
      <c r="L287" s="19">
        <f t="shared" si="12"/>
        <v>3317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203596</v>
      </c>
      <c r="G290" s="42">
        <f t="shared" si="13"/>
        <v>67761</v>
      </c>
      <c r="H290" s="42">
        <f t="shared" si="13"/>
        <v>33881</v>
      </c>
      <c r="I290" s="42">
        <f t="shared" si="13"/>
        <v>21758</v>
      </c>
      <c r="J290" s="42">
        <f t="shared" si="13"/>
        <v>4738</v>
      </c>
      <c r="K290" s="42">
        <f t="shared" si="13"/>
        <v>3037</v>
      </c>
      <c r="L290" s="41">
        <f t="shared" si="13"/>
        <v>334771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317</v>
      </c>
      <c r="G295" s="18">
        <v>53</v>
      </c>
      <c r="H295" s="18">
        <v>629</v>
      </c>
      <c r="I295" s="18">
        <f>148+3231</f>
        <v>3379</v>
      </c>
      <c r="J295" s="18"/>
      <c r="K295" s="18">
        <v>1550</v>
      </c>
      <c r="L295" s="19">
        <f>SUM(F295:K295)</f>
        <v>5928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6246</v>
      </c>
      <c r="G296" s="18">
        <v>2926</v>
      </c>
      <c r="H296" s="18">
        <v>1233</v>
      </c>
      <c r="I296" s="18">
        <v>208</v>
      </c>
      <c r="J296" s="18">
        <v>641</v>
      </c>
      <c r="K296" s="18"/>
      <c r="L296" s="19">
        <f>SUM(F296:K296)</f>
        <v>11254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>
        <v>522</v>
      </c>
      <c r="K298" s="18"/>
      <c r="L298" s="19">
        <f>SUM(F298:K298)</f>
        <v>522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178</v>
      </c>
      <c r="J300" s="18">
        <v>110</v>
      </c>
      <c r="K300" s="18"/>
      <c r="L300" s="19">
        <f t="shared" ref="L300:L306" si="14">SUM(F300:K300)</f>
        <v>288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2190</v>
      </c>
      <c r="G301" s="18">
        <v>475</v>
      </c>
      <c r="H301" s="18">
        <f>5137+19</f>
        <v>5156</v>
      </c>
      <c r="I301" s="18">
        <f>420+179</f>
        <v>599</v>
      </c>
      <c r="J301" s="18">
        <v>150</v>
      </c>
      <c r="K301" s="18">
        <v>151</v>
      </c>
      <c r="L301" s="19">
        <f t="shared" si="14"/>
        <v>8721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>
        <v>76</v>
      </c>
      <c r="J302" s="18"/>
      <c r="K302" s="18"/>
      <c r="L302" s="19">
        <f t="shared" si="14"/>
        <v>76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8753</v>
      </c>
      <c r="G309" s="42">
        <f t="shared" si="15"/>
        <v>3454</v>
      </c>
      <c r="H309" s="42">
        <f t="shared" si="15"/>
        <v>7018</v>
      </c>
      <c r="I309" s="42">
        <f t="shared" si="15"/>
        <v>4440</v>
      </c>
      <c r="J309" s="42">
        <f t="shared" si="15"/>
        <v>1423</v>
      </c>
      <c r="K309" s="42">
        <f t="shared" si="15"/>
        <v>1701</v>
      </c>
      <c r="L309" s="41">
        <f t="shared" si="15"/>
        <v>26789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644</v>
      </c>
      <c r="G314" s="18">
        <v>108</v>
      </c>
      <c r="H314" s="18">
        <v>1304</v>
      </c>
      <c r="I314" s="18">
        <f>301+7148</f>
        <v>7449</v>
      </c>
      <c r="J314" s="18">
        <v>555</v>
      </c>
      <c r="K314" s="18">
        <v>12898</v>
      </c>
      <c r="L314" s="19">
        <f>SUM(F314:K314)</f>
        <v>22958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32420</v>
      </c>
      <c r="G315" s="18">
        <f>10322-36</f>
        <v>10286</v>
      </c>
      <c r="H315" s="18">
        <v>2509</v>
      </c>
      <c r="I315" s="18">
        <v>422</v>
      </c>
      <c r="J315" s="18">
        <v>1304</v>
      </c>
      <c r="K315" s="18"/>
      <c r="L315" s="19">
        <f>SUM(F315:K315)</f>
        <v>46941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1217</v>
      </c>
      <c r="K317" s="18"/>
      <c r="L317" s="19">
        <f>SUM(F317:K317)</f>
        <v>1217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363</v>
      </c>
      <c r="J319" s="18">
        <v>223</v>
      </c>
      <c r="K319" s="18"/>
      <c r="L319" s="19">
        <f t="shared" ref="L319:L325" si="16">SUM(F319:K319)</f>
        <v>586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4455</v>
      </c>
      <c r="G320" s="18">
        <v>966</v>
      </c>
      <c r="H320" s="18">
        <f>10449+38</f>
        <v>10487</v>
      </c>
      <c r="I320" s="18">
        <f>855+364</f>
        <v>1219</v>
      </c>
      <c r="J320" s="18">
        <v>350</v>
      </c>
      <c r="K320" s="18">
        <v>308</v>
      </c>
      <c r="L320" s="19">
        <f t="shared" si="16"/>
        <v>17785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>
        <v>154</v>
      </c>
      <c r="J321" s="18"/>
      <c r="K321" s="18"/>
      <c r="L321" s="19">
        <f t="shared" si="16"/>
        <v>154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750</v>
      </c>
      <c r="I325" s="18"/>
      <c r="J325" s="18"/>
      <c r="K325" s="18"/>
      <c r="L325" s="19">
        <f t="shared" si="16"/>
        <v>750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37519</v>
      </c>
      <c r="G328" s="42">
        <f t="shared" si="17"/>
        <v>11360</v>
      </c>
      <c r="H328" s="42">
        <f t="shared" si="17"/>
        <v>15050</v>
      </c>
      <c r="I328" s="42">
        <f t="shared" si="17"/>
        <v>9607</v>
      </c>
      <c r="J328" s="42">
        <f t="shared" si="17"/>
        <v>3649</v>
      </c>
      <c r="K328" s="42">
        <f t="shared" si="17"/>
        <v>13206</v>
      </c>
      <c r="L328" s="41">
        <f t="shared" si="17"/>
        <v>90391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149</v>
      </c>
      <c r="I332" s="18"/>
      <c r="J332" s="18"/>
      <c r="K332" s="18"/>
      <c r="L332" s="19">
        <f t="shared" ref="L332:L337" si="18">SUM(F332:K332)</f>
        <v>149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1735</v>
      </c>
      <c r="J335" s="18"/>
      <c r="K335" s="18">
        <v>748</v>
      </c>
      <c r="L335" s="19">
        <f t="shared" si="18"/>
        <v>2483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149</v>
      </c>
      <c r="I337" s="41">
        <f t="shared" si="19"/>
        <v>1735</v>
      </c>
      <c r="J337" s="41">
        <f t="shared" si="19"/>
        <v>0</v>
      </c>
      <c r="K337" s="41">
        <f t="shared" si="19"/>
        <v>748</v>
      </c>
      <c r="L337" s="41">
        <f t="shared" si="18"/>
        <v>2632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249868</v>
      </c>
      <c r="G338" s="41">
        <f t="shared" si="20"/>
        <v>82575</v>
      </c>
      <c r="H338" s="41">
        <f t="shared" si="20"/>
        <v>56098</v>
      </c>
      <c r="I338" s="41">
        <f t="shared" si="20"/>
        <v>37540</v>
      </c>
      <c r="J338" s="41">
        <f t="shared" si="20"/>
        <v>9810</v>
      </c>
      <c r="K338" s="41">
        <f t="shared" si="20"/>
        <v>18692</v>
      </c>
      <c r="L338" s="41">
        <f t="shared" si="20"/>
        <v>454583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417</v>
      </c>
      <c r="L344" s="19">
        <f t="shared" ref="L344:L350" si="21">SUM(F344:K344)</f>
        <v>417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417</v>
      </c>
      <c r="L351" s="41">
        <f>SUM(L341:L350)</f>
        <v>417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249868</v>
      </c>
      <c r="G352" s="41">
        <f>G338</f>
        <v>82575</v>
      </c>
      <c r="H352" s="41">
        <f>H338</f>
        <v>56098</v>
      </c>
      <c r="I352" s="41">
        <f>I338</f>
        <v>37540</v>
      </c>
      <c r="J352" s="41">
        <f>J338</f>
        <v>9810</v>
      </c>
      <c r="K352" s="47">
        <f>K338+K351</f>
        <v>19109</v>
      </c>
      <c r="L352" s="41">
        <f>L338+L351</f>
        <v>455000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92923</v>
      </c>
      <c r="G358" s="18">
        <v>43002</v>
      </c>
      <c r="H358" s="18">
        <f>100+2061+717+1</f>
        <v>2879</v>
      </c>
      <c r="I358" s="18">
        <v>63599</v>
      </c>
      <c r="J358" s="18">
        <v>269</v>
      </c>
      <c r="K358" s="18">
        <v>416</v>
      </c>
      <c r="L358" s="13">
        <f>SUM(F358:K358)</f>
        <v>203088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21698</v>
      </c>
      <c r="G359" s="18">
        <v>11671</v>
      </c>
      <c r="H359" s="18">
        <f>28+175+201</f>
        <v>404</v>
      </c>
      <c r="I359" s="18">
        <v>18318</v>
      </c>
      <c r="J359" s="18"/>
      <c r="K359" s="18">
        <v>118</v>
      </c>
      <c r="L359" s="19">
        <f>SUM(F359:K359)</f>
        <v>52209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48890</v>
      </c>
      <c r="G360" s="18">
        <v>25908</v>
      </c>
      <c r="H360" s="18">
        <f>57+409+408+1</f>
        <v>875</v>
      </c>
      <c r="I360" s="18">
        <v>42119</v>
      </c>
      <c r="J360" s="18">
        <v>243</v>
      </c>
      <c r="K360" s="18"/>
      <c r="L360" s="19">
        <f>SUM(F360:K360)</f>
        <v>118035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163511</v>
      </c>
      <c r="G362" s="47">
        <f t="shared" si="22"/>
        <v>80581</v>
      </c>
      <c r="H362" s="47">
        <f t="shared" si="22"/>
        <v>4158</v>
      </c>
      <c r="I362" s="47">
        <f t="shared" si="22"/>
        <v>124036</v>
      </c>
      <c r="J362" s="47">
        <f t="shared" si="22"/>
        <v>512</v>
      </c>
      <c r="K362" s="47">
        <f t="shared" si="22"/>
        <v>534</v>
      </c>
      <c r="L362" s="47">
        <f t="shared" si="22"/>
        <v>373332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59663</v>
      </c>
      <c r="G367" s="18">
        <v>17401</v>
      </c>
      <c r="H367" s="18">
        <v>40043</v>
      </c>
      <c r="I367" s="56">
        <f>SUM(F367:H367)</f>
        <v>117107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1106+484+1030+484+832</f>
        <v>3936</v>
      </c>
      <c r="G368" s="63">
        <f>686+231</f>
        <v>917</v>
      </c>
      <c r="H368" s="63">
        <f>1599+477</f>
        <v>2076</v>
      </c>
      <c r="I368" s="56">
        <f>SUM(F368:H368)</f>
        <v>6929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63599</v>
      </c>
      <c r="G369" s="47">
        <f>SUM(G367:G368)</f>
        <v>18318</v>
      </c>
      <c r="H369" s="47">
        <f>SUM(H367:H368)</f>
        <v>42119</v>
      </c>
      <c r="I369" s="47">
        <f>SUM(I367:I368)</f>
        <v>124036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0</v>
      </c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100000</v>
      </c>
      <c r="H389" s="18">
        <v>13</v>
      </c>
      <c r="I389" s="18"/>
      <c r="J389" s="24" t="s">
        <v>289</v>
      </c>
      <c r="K389" s="24" t="s">
        <v>289</v>
      </c>
      <c r="L389" s="56">
        <f t="shared" si="25"/>
        <v>100013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10000</v>
      </c>
      <c r="H392" s="18">
        <v>4</v>
      </c>
      <c r="I392" s="18"/>
      <c r="J392" s="24" t="s">
        <v>289</v>
      </c>
      <c r="K392" s="24" t="s">
        <v>289</v>
      </c>
      <c r="L392" s="56">
        <f t="shared" si="25"/>
        <v>10004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110000</v>
      </c>
      <c r="H393" s="139">
        <f>SUM(H387:H392)</f>
        <v>17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110017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62</v>
      </c>
      <c r="I395" s="18"/>
      <c r="J395" s="24" t="s">
        <v>289</v>
      </c>
      <c r="K395" s="24" t="s">
        <v>289</v>
      </c>
      <c r="L395" s="56">
        <f t="shared" ref="L395:L400" si="26">SUM(F395:K395)</f>
        <v>62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11000</v>
      </c>
      <c r="H397" s="18">
        <v>158</v>
      </c>
      <c r="I397" s="18"/>
      <c r="J397" s="24" t="s">
        <v>289</v>
      </c>
      <c r="K397" s="24" t="s">
        <v>289</v>
      </c>
      <c r="L397" s="56">
        <f t="shared" si="26"/>
        <v>11158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11000</v>
      </c>
      <c r="H401" s="47">
        <f>SUM(H395:H400)</f>
        <v>220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11220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121000</v>
      </c>
      <c r="H408" s="47">
        <f>H393+H401+H407</f>
        <v>237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121237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>
        <v>32843</v>
      </c>
      <c r="K415" s="18"/>
      <c r="L415" s="56">
        <f t="shared" si="27"/>
        <v>32843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32843</v>
      </c>
      <c r="K419" s="139">
        <f t="shared" si="28"/>
        <v>0</v>
      </c>
      <c r="L419" s="47">
        <f t="shared" si="28"/>
        <v>32843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32843</v>
      </c>
      <c r="K434" s="47">
        <f t="shared" si="32"/>
        <v>0</v>
      </c>
      <c r="L434" s="47">
        <f t="shared" si="32"/>
        <v>32843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119594+35853</f>
        <v>155447</v>
      </c>
      <c r="G439" s="18">
        <f>169394+75313</f>
        <v>244707</v>
      </c>
      <c r="H439" s="18"/>
      <c r="I439" s="56">
        <f t="shared" ref="I439:I445" si="33">SUM(F439:H439)</f>
        <v>400154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155447</v>
      </c>
      <c r="G446" s="13">
        <f>SUM(G439:G445)</f>
        <v>244707</v>
      </c>
      <c r="H446" s="13">
        <f>SUM(H439:H445)</f>
        <v>0</v>
      </c>
      <c r="I446" s="13">
        <f>SUM(I439:I445)</f>
        <v>400154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155447</v>
      </c>
      <c r="G459" s="18">
        <v>244707</v>
      </c>
      <c r="H459" s="18"/>
      <c r="I459" s="56">
        <f t="shared" si="34"/>
        <v>400154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155447</v>
      </c>
      <c r="G460" s="83">
        <f>SUM(G454:G459)</f>
        <v>244707</v>
      </c>
      <c r="H460" s="83">
        <f>SUM(H454:H459)</f>
        <v>0</v>
      </c>
      <c r="I460" s="83">
        <f>SUM(I454:I459)</f>
        <v>400154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155447</v>
      </c>
      <c r="G461" s="42">
        <f>G452+G460</f>
        <v>244707</v>
      </c>
      <c r="H461" s="42">
        <f>H452+H460</f>
        <v>0</v>
      </c>
      <c r="I461" s="42">
        <f>I452+I460</f>
        <v>400154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945746</v>
      </c>
      <c r="G465" s="18">
        <v>0</v>
      </c>
      <c r="H465" s="18">
        <v>0</v>
      </c>
      <c r="I465" s="18">
        <v>0</v>
      </c>
      <c r="J465" s="18">
        <v>311760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17013877</v>
      </c>
      <c r="G468" s="18">
        <f>G160+G193</f>
        <v>373332</v>
      </c>
      <c r="H468" s="18">
        <f>H193</f>
        <v>455000</v>
      </c>
      <c r="I468" s="18"/>
      <c r="J468" s="18">
        <f>J427+L408</f>
        <v>121237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17013877</v>
      </c>
      <c r="G470" s="53">
        <f>SUM(G468:G469)</f>
        <v>373332</v>
      </c>
      <c r="H470" s="53">
        <f>SUM(H468:H469)</f>
        <v>455000</v>
      </c>
      <c r="I470" s="53">
        <f>SUM(I468:I469)</f>
        <v>0</v>
      </c>
      <c r="J470" s="53">
        <f>SUM(J468:J469)</f>
        <v>121237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F268+L271</f>
        <v>16979310</v>
      </c>
      <c r="G472" s="18">
        <f>G354+L362</f>
        <v>373332</v>
      </c>
      <c r="H472" s="18">
        <f>H323+L352</f>
        <v>455000</v>
      </c>
      <c r="I472" s="18"/>
      <c r="J472" s="18">
        <f>J431+L434</f>
        <v>32843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16979310</v>
      </c>
      <c r="G474" s="53">
        <f>SUM(G472:G473)</f>
        <v>373332</v>
      </c>
      <c r="H474" s="53">
        <f>SUM(H472:H473)</f>
        <v>455000</v>
      </c>
      <c r="I474" s="53">
        <f>SUM(I472:I473)</f>
        <v>0</v>
      </c>
      <c r="J474" s="53">
        <f>SUM(J472:J473)</f>
        <v>32843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980313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400154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4745000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2005000</v>
      </c>
      <c r="G495" s="18"/>
      <c r="H495" s="18"/>
      <c r="I495" s="18"/>
      <c r="J495" s="18"/>
      <c r="K495" s="53">
        <f>SUM(F495:J495)</f>
        <v>2005000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465000</v>
      </c>
      <c r="G497" s="18"/>
      <c r="H497" s="18"/>
      <c r="I497" s="18"/>
      <c r="J497" s="18"/>
      <c r="K497" s="53">
        <f t="shared" si="35"/>
        <v>465000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1540000</v>
      </c>
      <c r="G498" s="204"/>
      <c r="H498" s="204"/>
      <c r="I498" s="204"/>
      <c r="J498" s="204"/>
      <c r="K498" s="205">
        <f t="shared" si="35"/>
        <v>1540000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188450-78800</f>
        <v>109650</v>
      </c>
      <c r="G499" s="18"/>
      <c r="H499" s="18"/>
      <c r="I499" s="18"/>
      <c r="J499" s="18"/>
      <c r="K499" s="53">
        <f t="shared" si="35"/>
        <v>109650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1649650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1649650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490000</v>
      </c>
      <c r="G501" s="204"/>
      <c r="H501" s="204"/>
      <c r="I501" s="204"/>
      <c r="J501" s="204"/>
      <c r="K501" s="205">
        <f t="shared" si="35"/>
        <v>490000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58700</v>
      </c>
      <c r="G502" s="18"/>
      <c r="H502" s="18"/>
      <c r="I502" s="18"/>
      <c r="J502" s="18"/>
      <c r="K502" s="53">
        <f t="shared" si="35"/>
        <v>58700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548700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548700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49270</v>
      </c>
      <c r="G511" s="24" t="s">
        <v>289</v>
      </c>
      <c r="H511" s="18">
        <v>49270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562129</v>
      </c>
      <c r="G512" s="24" t="s">
        <v>289</v>
      </c>
      <c r="H512" s="18">
        <f>48300+513829</f>
        <v>562129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16797346</v>
      </c>
      <c r="G513" s="24" t="s">
        <v>289</v>
      </c>
      <c r="H513" s="18">
        <f>16850806</f>
        <v>16850806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822423</v>
      </c>
      <c r="G514" s="24" t="s">
        <v>289</v>
      </c>
      <c r="H514" s="18">
        <f>723669+160958</f>
        <v>884627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18231168</v>
      </c>
      <c r="H516" s="24" t="s">
        <v>289</v>
      </c>
      <c r="I516" s="18">
        <v>18346832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18231168</v>
      </c>
      <c r="G517" s="42">
        <f>SUM(G511:G516)</f>
        <v>18231168</v>
      </c>
      <c r="H517" s="42">
        <f>SUM(H511:H516)</f>
        <v>18346832</v>
      </c>
      <c r="I517" s="42">
        <f>SUM(I511:I516)</f>
        <v>18346832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966478+93203</f>
        <v>1059681</v>
      </c>
      <c r="G521" s="18">
        <f>43730+324699</f>
        <v>368429</v>
      </c>
      <c r="H521" s="18">
        <f>166627+4408</f>
        <v>171035</v>
      </c>
      <c r="I521" s="18">
        <f>5443+743</f>
        <v>6186</v>
      </c>
      <c r="J521" s="18">
        <f>2971+7681</f>
        <v>10652</v>
      </c>
      <c r="K521" s="18">
        <v>287</v>
      </c>
      <c r="L521" s="88">
        <f>SUM(F521:K521)</f>
        <v>1616270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279540+6246</f>
        <v>285786</v>
      </c>
      <c r="G522" s="18">
        <f>2926+124722</f>
        <v>127648</v>
      </c>
      <c r="H522" s="18">
        <f>16057+1233</f>
        <v>17290</v>
      </c>
      <c r="I522" s="18">
        <f>208+1141</f>
        <v>1349</v>
      </c>
      <c r="J522" s="18">
        <f>2216+641</f>
        <v>2857</v>
      </c>
      <c r="K522" s="18">
        <v>80</v>
      </c>
      <c r="L522" s="88">
        <f>SUM(F522:K522)</f>
        <v>435010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539781+32420</f>
        <v>572201</v>
      </c>
      <c r="G523" s="18">
        <f>10322+217226</f>
        <v>227548</v>
      </c>
      <c r="H523" s="18">
        <f>37212+2509</f>
        <v>39721</v>
      </c>
      <c r="I523" s="18">
        <f>422+2076</f>
        <v>2498</v>
      </c>
      <c r="J523" s="18">
        <f>4119+1304</f>
        <v>5423</v>
      </c>
      <c r="K523" s="18">
        <v>163</v>
      </c>
      <c r="L523" s="88">
        <f>SUM(F523:K523)</f>
        <v>847554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1917668</v>
      </c>
      <c r="G524" s="108">
        <f t="shared" ref="G524:L524" si="36">SUM(G521:G523)</f>
        <v>723625</v>
      </c>
      <c r="H524" s="108">
        <f t="shared" si="36"/>
        <v>228046</v>
      </c>
      <c r="I524" s="108">
        <f t="shared" si="36"/>
        <v>10033</v>
      </c>
      <c r="J524" s="108">
        <f t="shared" si="36"/>
        <v>18932</v>
      </c>
      <c r="K524" s="108">
        <f t="shared" si="36"/>
        <v>530</v>
      </c>
      <c r="L524" s="89">
        <f t="shared" si="36"/>
        <v>2898834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406094</v>
      </c>
      <c r="G526" s="18">
        <v>171808</v>
      </c>
      <c r="H526" s="18">
        <v>29290</v>
      </c>
      <c r="I526" s="18">
        <v>2148</v>
      </c>
      <c r="J526" s="18">
        <v>1341</v>
      </c>
      <c r="K526" s="18"/>
      <c r="L526" s="88">
        <f>SUM(F526:K526)</f>
        <v>610681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78419</v>
      </c>
      <c r="G527" s="18">
        <v>34194</v>
      </c>
      <c r="H527" s="18">
        <v>8194</v>
      </c>
      <c r="I527" s="18">
        <v>427</v>
      </c>
      <c r="J527" s="18">
        <v>211</v>
      </c>
      <c r="K527" s="18"/>
      <c r="L527" s="88">
        <f>SUM(F527:K527)</f>
        <v>121445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211864</v>
      </c>
      <c r="G528" s="18">
        <v>89059</v>
      </c>
      <c r="H528" s="18">
        <v>16668</v>
      </c>
      <c r="I528" s="18">
        <v>3836</v>
      </c>
      <c r="J528" s="18">
        <v>428</v>
      </c>
      <c r="K528" s="18">
        <v>25</v>
      </c>
      <c r="L528" s="88">
        <f>SUM(F528:K528)</f>
        <v>321880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696377</v>
      </c>
      <c r="G529" s="89">
        <f t="shared" ref="G529:L529" si="37">SUM(G526:G528)</f>
        <v>295061</v>
      </c>
      <c r="H529" s="89">
        <f t="shared" si="37"/>
        <v>54152</v>
      </c>
      <c r="I529" s="89">
        <f t="shared" si="37"/>
        <v>6411</v>
      </c>
      <c r="J529" s="89">
        <f t="shared" si="37"/>
        <v>1980</v>
      </c>
      <c r="K529" s="89">
        <f t="shared" si="37"/>
        <v>25</v>
      </c>
      <c r="L529" s="89">
        <f t="shared" si="37"/>
        <v>1054006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68763</v>
      </c>
      <c r="G531" s="18">
        <v>33689</v>
      </c>
      <c r="H531" s="18"/>
      <c r="I531" s="18">
        <v>808</v>
      </c>
      <c r="J531" s="18">
        <v>324</v>
      </c>
      <c r="K531" s="18"/>
      <c r="L531" s="88">
        <f>SUM(F531:K531)</f>
        <v>103584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19236</v>
      </c>
      <c r="G532" s="18">
        <v>9424</v>
      </c>
      <c r="H532" s="18"/>
      <c r="I532" s="18">
        <v>226</v>
      </c>
      <c r="J532" s="18">
        <v>91</v>
      </c>
      <c r="K532" s="18"/>
      <c r="L532" s="88">
        <f>SUM(F532:K532)</f>
        <v>28977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39130</v>
      </c>
      <c r="G533" s="18">
        <v>19171</v>
      </c>
      <c r="H533" s="18"/>
      <c r="I533" s="18">
        <v>460</v>
      </c>
      <c r="J533" s="18">
        <v>184</v>
      </c>
      <c r="K533" s="18"/>
      <c r="L533" s="88">
        <f>SUM(F533:K533)</f>
        <v>58945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127129</v>
      </c>
      <c r="G534" s="89">
        <f t="shared" ref="G534:L534" si="38">SUM(G531:G533)</f>
        <v>62284</v>
      </c>
      <c r="H534" s="89">
        <f t="shared" si="38"/>
        <v>0</v>
      </c>
      <c r="I534" s="89">
        <f t="shared" si="38"/>
        <v>1494</v>
      </c>
      <c r="J534" s="89">
        <f t="shared" si="38"/>
        <v>599</v>
      </c>
      <c r="K534" s="89">
        <f t="shared" si="38"/>
        <v>0</v>
      </c>
      <c r="L534" s="89">
        <f t="shared" si="38"/>
        <v>191506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4051</v>
      </c>
      <c r="I536" s="18"/>
      <c r="J536" s="18"/>
      <c r="K536" s="18"/>
      <c r="L536" s="88">
        <f>SUM(F536:K536)</f>
        <v>4051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1133</v>
      </c>
      <c r="I537" s="18"/>
      <c r="J537" s="18"/>
      <c r="K537" s="18"/>
      <c r="L537" s="88">
        <f>SUM(F537:K537)</f>
        <v>1133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2305</v>
      </c>
      <c r="I538" s="18"/>
      <c r="J538" s="18"/>
      <c r="K538" s="18"/>
      <c r="L538" s="88">
        <f>SUM(F538:K538)</f>
        <v>2305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7489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7489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17462</v>
      </c>
      <c r="G541" s="18">
        <v>6392</v>
      </c>
      <c r="H541" s="18">
        <v>133471</v>
      </c>
      <c r="I541" s="18">
        <v>2781</v>
      </c>
      <c r="J541" s="18"/>
      <c r="K541" s="18">
        <v>328</v>
      </c>
      <c r="L541" s="88">
        <f>SUM(F541:K541)</f>
        <v>160434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4885</v>
      </c>
      <c r="G542" s="18">
        <v>1788</v>
      </c>
      <c r="H542" s="18">
        <v>889</v>
      </c>
      <c r="I542" s="18">
        <v>778</v>
      </c>
      <c r="J542" s="18"/>
      <c r="K542" s="18">
        <v>92</v>
      </c>
      <c r="L542" s="88">
        <f>SUM(F542:K542)</f>
        <v>8432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9936</v>
      </c>
      <c r="G543" s="18">
        <v>3637</v>
      </c>
      <c r="H543" s="18">
        <v>1807</v>
      </c>
      <c r="I543" s="18">
        <v>1582</v>
      </c>
      <c r="J543" s="18"/>
      <c r="K543" s="18">
        <v>187</v>
      </c>
      <c r="L543" s="88">
        <f>SUM(F543:K543)</f>
        <v>17149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32283</v>
      </c>
      <c r="G544" s="193">
        <f t="shared" ref="G544:L544" si="40">SUM(G541:G543)</f>
        <v>11817</v>
      </c>
      <c r="H544" s="193">
        <f t="shared" si="40"/>
        <v>136167</v>
      </c>
      <c r="I544" s="193">
        <f t="shared" si="40"/>
        <v>5141</v>
      </c>
      <c r="J544" s="193">
        <f t="shared" si="40"/>
        <v>0</v>
      </c>
      <c r="K544" s="193">
        <f t="shared" si="40"/>
        <v>607</v>
      </c>
      <c r="L544" s="193">
        <f t="shared" si="40"/>
        <v>186015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2773457</v>
      </c>
      <c r="G545" s="89">
        <f t="shared" ref="G545:L545" si="41">G524+G529+G534+G539+G544</f>
        <v>1092787</v>
      </c>
      <c r="H545" s="89">
        <f t="shared" si="41"/>
        <v>425854</v>
      </c>
      <c r="I545" s="89">
        <f t="shared" si="41"/>
        <v>23079</v>
      </c>
      <c r="J545" s="89">
        <f t="shared" si="41"/>
        <v>21511</v>
      </c>
      <c r="K545" s="89">
        <f t="shared" si="41"/>
        <v>1162</v>
      </c>
      <c r="L545" s="89">
        <f t="shared" si="41"/>
        <v>4337850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1616270</v>
      </c>
      <c r="G549" s="87">
        <f>L526</f>
        <v>610681</v>
      </c>
      <c r="H549" s="87">
        <f>L531</f>
        <v>103584</v>
      </c>
      <c r="I549" s="87">
        <f>L536</f>
        <v>4051</v>
      </c>
      <c r="J549" s="87">
        <f>L541</f>
        <v>160434</v>
      </c>
      <c r="K549" s="87">
        <f>SUM(F549:J549)</f>
        <v>2495020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435010</v>
      </c>
      <c r="G550" s="87">
        <f>L527</f>
        <v>121445</v>
      </c>
      <c r="H550" s="87">
        <f>L532</f>
        <v>28977</v>
      </c>
      <c r="I550" s="87">
        <f>L537</f>
        <v>1133</v>
      </c>
      <c r="J550" s="87">
        <f>L542</f>
        <v>8432</v>
      </c>
      <c r="K550" s="87">
        <f>SUM(F550:J550)</f>
        <v>594997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847554</v>
      </c>
      <c r="G551" s="87">
        <f>L528</f>
        <v>321880</v>
      </c>
      <c r="H551" s="87">
        <f>L533</f>
        <v>58945</v>
      </c>
      <c r="I551" s="87">
        <f>L538</f>
        <v>2305</v>
      </c>
      <c r="J551" s="87">
        <f>L543</f>
        <v>17149</v>
      </c>
      <c r="K551" s="87">
        <f>SUM(F551:J551)</f>
        <v>1247833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2898834</v>
      </c>
      <c r="G552" s="89">
        <f t="shared" si="42"/>
        <v>1054006</v>
      </c>
      <c r="H552" s="89">
        <f t="shared" si="42"/>
        <v>191506</v>
      </c>
      <c r="I552" s="89">
        <f t="shared" si="42"/>
        <v>7489</v>
      </c>
      <c r="J552" s="89">
        <f t="shared" si="42"/>
        <v>186015</v>
      </c>
      <c r="K552" s="89">
        <f t="shared" si="42"/>
        <v>4337850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22160</v>
      </c>
      <c r="G564" s="18">
        <f>1695+106+54</f>
        <v>1855</v>
      </c>
      <c r="H564" s="18"/>
      <c r="I564" s="18">
        <v>100</v>
      </c>
      <c r="J564" s="18"/>
      <c r="K564" s="18"/>
      <c r="L564" s="88">
        <f>SUM(F564:K564)</f>
        <v>24115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22160</v>
      </c>
      <c r="G565" s="89">
        <f t="shared" si="44"/>
        <v>1855</v>
      </c>
      <c r="H565" s="89">
        <f t="shared" si="44"/>
        <v>0</v>
      </c>
      <c r="I565" s="89">
        <f t="shared" si="44"/>
        <v>100</v>
      </c>
      <c r="J565" s="89">
        <f t="shared" si="44"/>
        <v>0</v>
      </c>
      <c r="K565" s="89">
        <f t="shared" si="44"/>
        <v>0</v>
      </c>
      <c r="L565" s="89">
        <f t="shared" si="44"/>
        <v>24115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22160</v>
      </c>
      <c r="G571" s="89">
        <f t="shared" ref="G571:L571" si="46">G560+G565+G570</f>
        <v>1855</v>
      </c>
      <c r="H571" s="89">
        <f t="shared" si="46"/>
        <v>0</v>
      </c>
      <c r="I571" s="89">
        <f t="shared" si="46"/>
        <v>100</v>
      </c>
      <c r="J571" s="89">
        <f t="shared" si="46"/>
        <v>0</v>
      </c>
      <c r="K571" s="89">
        <f t="shared" si="46"/>
        <v>0</v>
      </c>
      <c r="L571" s="89">
        <f t="shared" si="46"/>
        <v>24115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1009</v>
      </c>
      <c r="I575" s="87">
        <f>SUM(F575:H575)</f>
        <v>1009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8379</v>
      </c>
      <c r="I578" s="87">
        <f t="shared" si="47"/>
        <v>8379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10755</v>
      </c>
      <c r="G579" s="18"/>
      <c r="H579" s="18"/>
      <c r="I579" s="87">
        <f t="shared" si="47"/>
        <v>10755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1530+74550+35612</f>
        <v>111692</v>
      </c>
      <c r="G582" s="18"/>
      <c r="H582" s="18">
        <v>33795</v>
      </c>
      <c r="I582" s="87">
        <f t="shared" si="47"/>
        <v>145487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38412</v>
      </c>
      <c r="I584" s="87">
        <f t="shared" si="47"/>
        <v>38412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230066</v>
      </c>
      <c r="I591" s="18">
        <v>63226</v>
      </c>
      <c r="J591" s="18">
        <v>128338</v>
      </c>
      <c r="K591" s="104">
        <f t="shared" ref="K591:K597" si="48">SUM(H591:J591)</f>
        <v>421630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160383</v>
      </c>
      <c r="I592" s="18">
        <v>8358</v>
      </c>
      <c r="J592" s="18">
        <v>17273</v>
      </c>
      <c r="K592" s="104">
        <f t="shared" si="48"/>
        <v>186014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29519</v>
      </c>
      <c r="K593" s="104">
        <f t="shared" si="48"/>
        <v>29519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11065</v>
      </c>
      <c r="J594" s="18">
        <v>41379</v>
      </c>
      <c r="K594" s="104">
        <f t="shared" si="48"/>
        <v>52444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2660</v>
      </c>
      <c r="I595" s="18">
        <v>514</v>
      </c>
      <c r="J595" s="18">
        <v>2557</v>
      </c>
      <c r="K595" s="104">
        <f t="shared" si="48"/>
        <v>5731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393109</v>
      </c>
      <c r="I598" s="108">
        <f>SUM(I591:I597)</f>
        <v>83163</v>
      </c>
      <c r="J598" s="108">
        <f>SUM(J591:J597)</f>
        <v>219066</v>
      </c>
      <c r="K598" s="108">
        <f>SUM(K591:K597)</f>
        <v>695338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79267-53460+17991+8505+47237+2291+1034+32+680+392+528</f>
        <v>104497</v>
      </c>
      <c r="I604" s="18">
        <f>23174+13121+641+522+110+150</f>
        <v>37718</v>
      </c>
      <c r="J604" s="18">
        <f>53851+27117+1304+555+1217+223+350</f>
        <v>84617</v>
      </c>
      <c r="K604" s="104">
        <f>SUM(H604:J604)</f>
        <v>226832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104497</v>
      </c>
      <c r="I605" s="108">
        <f>SUM(I602:I604)</f>
        <v>37718</v>
      </c>
      <c r="J605" s="108">
        <f>SUM(J602:J604)</f>
        <v>84617</v>
      </c>
      <c r="K605" s="108">
        <f>SUM(K602:K604)</f>
        <v>226832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23877-2429-67-515-126-128</f>
        <v>20612</v>
      </c>
      <c r="G611" s="18">
        <f>23877-20612</f>
        <v>3265</v>
      </c>
      <c r="H611" s="18"/>
      <c r="I611" s="18"/>
      <c r="J611" s="18"/>
      <c r="K611" s="18"/>
      <c r="L611" s="88">
        <f>SUM(F611:K611)</f>
        <v>23877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5875-680-19-35-35</f>
        <v>5106</v>
      </c>
      <c r="G612" s="18">
        <f>5875-5106</f>
        <v>769</v>
      </c>
      <c r="H612" s="18"/>
      <c r="I612" s="18"/>
      <c r="J612" s="18"/>
      <c r="K612" s="18"/>
      <c r="L612" s="88">
        <f>SUM(F612:K612)</f>
        <v>5875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12572-1382-44-38-72-73</f>
        <v>10963</v>
      </c>
      <c r="G613" s="18">
        <f>12572-10963</f>
        <v>1609</v>
      </c>
      <c r="H613" s="18"/>
      <c r="I613" s="18"/>
      <c r="J613" s="18"/>
      <c r="K613" s="18"/>
      <c r="L613" s="88">
        <f>SUM(F613:K613)</f>
        <v>12572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36681</v>
      </c>
      <c r="G614" s="108">
        <f t="shared" si="49"/>
        <v>5643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42324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1070740</v>
      </c>
      <c r="H617" s="109">
        <f>SUM(F52)</f>
        <v>1070740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11392</v>
      </c>
      <c r="H618" s="109">
        <f>SUM(G52)</f>
        <v>11392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166182</v>
      </c>
      <c r="H619" s="109">
        <f>SUM(H52)</f>
        <v>166182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400154</v>
      </c>
      <c r="H621" s="109">
        <f>SUM(J52)</f>
        <v>400154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980313</v>
      </c>
      <c r="H622" s="109">
        <f>F476</f>
        <v>980313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400154</v>
      </c>
      <c r="H626" s="109">
        <f>J476</f>
        <v>400154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17013877</v>
      </c>
      <c r="H627" s="104">
        <f>SUM(F468)</f>
        <v>17013877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373332</v>
      </c>
      <c r="H628" s="104">
        <f>SUM(G468)</f>
        <v>373332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455000</v>
      </c>
      <c r="H629" s="104">
        <f>SUM(H468)</f>
        <v>455000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121237</v>
      </c>
      <c r="H631" s="104">
        <f>SUM(J468)</f>
        <v>121237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16979310</v>
      </c>
      <c r="H632" s="104">
        <f>SUM(F472)</f>
        <v>16979310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455000</v>
      </c>
      <c r="H633" s="104">
        <f>SUM(H472)</f>
        <v>455000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124036</v>
      </c>
      <c r="H634" s="104">
        <f>I369</f>
        <v>124036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373332</v>
      </c>
      <c r="H635" s="104">
        <f>SUM(G472)</f>
        <v>373332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121237</v>
      </c>
      <c r="H637" s="164">
        <f>SUM(J468)</f>
        <v>121237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32843</v>
      </c>
      <c r="H638" s="164">
        <f>SUM(J472)</f>
        <v>32843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155447</v>
      </c>
      <c r="H639" s="104">
        <f>SUM(F461)</f>
        <v>155447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244707</v>
      </c>
      <c r="H640" s="104">
        <f>SUM(G461)</f>
        <v>244707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400154</v>
      </c>
      <c r="H642" s="104">
        <f>SUM(I461)</f>
        <v>400154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237</v>
      </c>
      <c r="H644" s="104">
        <f>H408</f>
        <v>237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121000</v>
      </c>
      <c r="H645" s="104">
        <f>G408</f>
        <v>121000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121237</v>
      </c>
      <c r="H646" s="104">
        <f>L408</f>
        <v>121237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695338</v>
      </c>
      <c r="H647" s="104">
        <f>L208+L226+L244</f>
        <v>695338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226832</v>
      </c>
      <c r="H648" s="104">
        <f>(J257+J338)-(J255+J336)</f>
        <v>226832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393109</v>
      </c>
      <c r="H649" s="104">
        <f>H598</f>
        <v>393109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83163</v>
      </c>
      <c r="H650" s="104">
        <f>I598</f>
        <v>83163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219066</v>
      </c>
      <c r="H651" s="104">
        <f>J598</f>
        <v>219066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123169</v>
      </c>
      <c r="H652" s="104">
        <f>K263+K345</f>
        <v>123169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2284</v>
      </c>
      <c r="H653" s="104">
        <f>K264</f>
        <v>2284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121000</v>
      </c>
      <c r="H655" s="104">
        <f>K266+K347</f>
        <v>121000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8882530</v>
      </c>
      <c r="G660" s="19">
        <f>(L229+L309+L359)</f>
        <v>2459834</v>
      </c>
      <c r="H660" s="19">
        <f>(L247+L328+L360)</f>
        <v>5618516</v>
      </c>
      <c r="I660" s="19">
        <f>SUM(F660:H660)</f>
        <v>16960880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92786.342708366821</v>
      </c>
      <c r="G661" s="19">
        <f>(L359/IF(SUM(L358:L360)=0,1,SUM(L358:L360))*(SUM(G97:G110)))</f>
        <v>23853.118679888143</v>
      </c>
      <c r="H661" s="19">
        <f>(L360/IF(SUM(L358:L360)=0,1,SUM(L358:L360))*(SUM(G97:G110)))</f>
        <v>53927.538611745047</v>
      </c>
      <c r="I661" s="19">
        <f>SUM(F661:H661)</f>
        <v>170567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396426</v>
      </c>
      <c r="G662" s="19">
        <f>(L226+L306)-(J226+J306)</f>
        <v>83163</v>
      </c>
      <c r="H662" s="19">
        <f>(L244+L325)-(J244+J325)</f>
        <v>219599</v>
      </c>
      <c r="I662" s="19">
        <f>SUM(F662:H662)</f>
        <v>699188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250821</v>
      </c>
      <c r="G663" s="199">
        <f>SUM(G575:G587)+SUM(I602:I604)+L612</f>
        <v>43593</v>
      </c>
      <c r="H663" s="199">
        <f>SUM(H575:H587)+SUM(J602:J604)+L613</f>
        <v>178784</v>
      </c>
      <c r="I663" s="19">
        <f>SUM(F663:H663)</f>
        <v>473198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8142496.6572916331</v>
      </c>
      <c r="G664" s="19">
        <f>G660-SUM(G661:G663)</f>
        <v>2309224.8813201119</v>
      </c>
      <c r="H664" s="19">
        <f>H660-SUM(H661:H663)</f>
        <v>5166205.4613882545</v>
      </c>
      <c r="I664" s="19">
        <f>I660-SUM(I661:I663)</f>
        <v>15617927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461.42</v>
      </c>
      <c r="G665" s="248">
        <v>129.04</v>
      </c>
      <c r="H665" s="248">
        <v>262.57</v>
      </c>
      <c r="I665" s="19">
        <f>SUM(F665:H665)</f>
        <v>853.03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17646.61</v>
      </c>
      <c r="G667" s="19">
        <f>ROUND(G664/G665,2)</f>
        <v>17895.419999999998</v>
      </c>
      <c r="H667" s="19">
        <f>ROUND(H664/H665,2)</f>
        <v>19675.54</v>
      </c>
      <c r="I667" s="19">
        <f>ROUND(I664/I665,2)</f>
        <v>18308.77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-4.1100000000000003</v>
      </c>
      <c r="I670" s="19">
        <f>SUM(F670:H670)</f>
        <v>-4.1100000000000003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17646.61</v>
      </c>
      <c r="G672" s="19">
        <f>ROUND((G664+G669)/(G665+G670),2)</f>
        <v>17895.419999999998</v>
      </c>
      <c r="H672" s="19">
        <f>ROUND((H664+H669)/(H665+H670),2)</f>
        <v>19988.41</v>
      </c>
      <c r="I672" s="19">
        <f>ROUND((I664+I669)/(I665+I670),2)</f>
        <v>18397.41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60" orientation="landscape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25" zoomScaleNormal="125" zoomScalePageLayoutView="125" workbookViewId="0">
      <selection activeCell="C21" sqref="C2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HOPKINTON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4858237</v>
      </c>
      <c r="C9" s="229">
        <f>'DOE25'!G197+'DOE25'!G215+'DOE25'!G233+'DOE25'!G276+'DOE25'!G295+'DOE25'!G314</f>
        <v>2180213</v>
      </c>
    </row>
    <row r="10" spans="1:3" x14ac:dyDescent="0.2">
      <c r="A10" t="s">
        <v>779</v>
      </c>
      <c r="B10" s="240">
        <v>4753261</v>
      </c>
      <c r="C10" s="240">
        <v>2166155</v>
      </c>
    </row>
    <row r="11" spans="1:3" x14ac:dyDescent="0.2">
      <c r="A11" t="s">
        <v>780</v>
      </c>
      <c r="B11" s="240">
        <v>50100</v>
      </c>
      <c r="C11" s="240">
        <v>9197</v>
      </c>
    </row>
    <row r="12" spans="1:3" x14ac:dyDescent="0.2">
      <c r="A12" t="s">
        <v>781</v>
      </c>
      <c r="B12" s="240">
        <v>54876</v>
      </c>
      <c r="C12" s="240">
        <v>4861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4858237</v>
      </c>
      <c r="C13" s="231">
        <f>SUM(C10:C12)</f>
        <v>2180213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1917668</v>
      </c>
      <c r="C18" s="229">
        <f>'DOE25'!G198+'DOE25'!G216+'DOE25'!G234+'DOE25'!G277+'DOE25'!G296+'DOE25'!G315</f>
        <v>723589</v>
      </c>
    </row>
    <row r="19" spans="1:3" x14ac:dyDescent="0.2">
      <c r="A19" t="s">
        <v>779</v>
      </c>
      <c r="B19" s="240">
        <v>1055537</v>
      </c>
      <c r="C19" s="240">
        <v>470356</v>
      </c>
    </row>
    <row r="20" spans="1:3" x14ac:dyDescent="0.2">
      <c r="A20" t="s">
        <v>780</v>
      </c>
      <c r="B20" s="240">
        <v>862131</v>
      </c>
      <c r="C20" s="240">
        <f>253269-36</f>
        <v>253233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1917668</v>
      </c>
      <c r="C22" s="231">
        <f>SUM(C19:C21)</f>
        <v>723589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216266</v>
      </c>
      <c r="C36" s="235">
        <f>'DOE25'!G200+'DOE25'!G218+'DOE25'!G236+'DOE25'!G279+'DOE25'!G298+'DOE25'!G317</f>
        <v>48757</v>
      </c>
    </row>
    <row r="37" spans="1:3" x14ac:dyDescent="0.2">
      <c r="A37" t="s">
        <v>779</v>
      </c>
      <c r="B37" s="240">
        <v>216266</v>
      </c>
      <c r="C37" s="240">
        <v>48757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216266</v>
      </c>
      <c r="C40" s="231">
        <f>SUM(C37:C39)</f>
        <v>48757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HOPKINTON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10178899</v>
      </c>
      <c r="D5" s="20">
        <f>SUM('DOE25'!L197:L200)+SUM('DOE25'!L215:L218)+SUM('DOE25'!L233:L236)-F5-G5</f>
        <v>10122075</v>
      </c>
      <c r="E5" s="243"/>
      <c r="F5" s="255">
        <f>SUM('DOE25'!J197:J200)+SUM('DOE25'!J215:J218)+SUM('DOE25'!J233:J236)</f>
        <v>50425</v>
      </c>
      <c r="G5" s="53">
        <f>SUM('DOE25'!K197:K200)+SUM('DOE25'!K215:K218)+SUM('DOE25'!K233:K236)</f>
        <v>6399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1336147</v>
      </c>
      <c r="D6" s="20">
        <f>'DOE25'!L202+'DOE25'!L220+'DOE25'!L238-F6-G6</f>
        <v>1333218</v>
      </c>
      <c r="E6" s="243"/>
      <c r="F6" s="255">
        <f>'DOE25'!J202+'DOE25'!J220+'DOE25'!J238</f>
        <v>2904</v>
      </c>
      <c r="G6" s="53">
        <f>'DOE25'!K202+'DOE25'!K220+'DOE25'!K238</f>
        <v>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907427</v>
      </c>
      <c r="D7" s="20">
        <f>'DOE25'!L203+'DOE25'!L221+'DOE25'!L239-F7-G7</f>
        <v>793867</v>
      </c>
      <c r="E7" s="243"/>
      <c r="F7" s="255">
        <f>'DOE25'!J203+'DOE25'!J221+'DOE25'!J239</f>
        <v>96644</v>
      </c>
      <c r="G7" s="53">
        <f>'DOE25'!K203+'DOE25'!K221+'DOE25'!K239</f>
        <v>16916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220392</v>
      </c>
      <c r="D8" s="243"/>
      <c r="E8" s="20">
        <f>'DOE25'!L204+'DOE25'!L222+'DOE25'!L240-F8-G8-D9-D11</f>
        <v>203835</v>
      </c>
      <c r="F8" s="255">
        <f>'DOE25'!J204+'DOE25'!J222+'DOE25'!J240</f>
        <v>1238</v>
      </c>
      <c r="G8" s="53">
        <f>'DOE25'!K204+'DOE25'!K222+'DOE25'!K240</f>
        <v>15319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16478</v>
      </c>
      <c r="D9" s="244">
        <f>14834+1644</f>
        <v>16478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12120</v>
      </c>
      <c r="D10" s="243"/>
      <c r="E10" s="244">
        <v>12120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335477</v>
      </c>
      <c r="D11" s="244">
        <v>335477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833402</v>
      </c>
      <c r="D12" s="20">
        <f>'DOE25'!L205+'DOE25'!L223+'DOE25'!L241-F12-G12</f>
        <v>825641</v>
      </c>
      <c r="E12" s="243"/>
      <c r="F12" s="255">
        <f>'DOE25'!J205+'DOE25'!J223+'DOE25'!J241</f>
        <v>0</v>
      </c>
      <c r="G12" s="53">
        <f>'DOE25'!K205+'DOE25'!K223+'DOE25'!K241</f>
        <v>7761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325363</v>
      </c>
      <c r="D13" s="243"/>
      <c r="E13" s="20">
        <f>'DOE25'!L206+'DOE25'!L224+'DOE25'!L242-F13-G13</f>
        <v>325363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1286674</v>
      </c>
      <c r="D14" s="20">
        <f>'DOE25'!L207+'DOE25'!L225+'DOE25'!L243-F14-G14</f>
        <v>1221080</v>
      </c>
      <c r="E14" s="243"/>
      <c r="F14" s="255">
        <f>'DOE25'!J207+'DOE25'!J225+'DOE25'!J243</f>
        <v>65594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695338</v>
      </c>
      <c r="D15" s="20">
        <f>'DOE25'!L208+'DOE25'!L226+'DOE25'!L244-F15-G15</f>
        <v>694632</v>
      </c>
      <c r="E15" s="243"/>
      <c r="F15" s="255">
        <f>'DOE25'!J208+'DOE25'!J226+'DOE25'!J244</f>
        <v>217</v>
      </c>
      <c r="G15" s="53">
        <f>'DOE25'!K208+'DOE25'!K226+'DOE25'!K244</f>
        <v>489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53460</v>
      </c>
      <c r="D22" s="243"/>
      <c r="E22" s="243"/>
      <c r="F22" s="255">
        <f>'DOE25'!L255+'DOE25'!L336</f>
        <v>53460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543800</v>
      </c>
      <c r="D25" s="243"/>
      <c r="E25" s="243"/>
      <c r="F25" s="258"/>
      <c r="G25" s="256"/>
      <c r="H25" s="257">
        <f>'DOE25'!L260+'DOE25'!L261+'DOE25'!L341+'DOE25'!L342</f>
        <v>543800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256225</v>
      </c>
      <c r="D29" s="20">
        <f>'DOE25'!L358+'DOE25'!L359+'DOE25'!L360-'DOE25'!I367-F29-G29</f>
        <v>255179</v>
      </c>
      <c r="E29" s="243"/>
      <c r="F29" s="255">
        <f>'DOE25'!J358+'DOE25'!J359+'DOE25'!J360</f>
        <v>512</v>
      </c>
      <c r="G29" s="53">
        <f>'DOE25'!K358+'DOE25'!K359+'DOE25'!K360</f>
        <v>534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454434</v>
      </c>
      <c r="D31" s="20">
        <f>'DOE25'!L290+'DOE25'!L309+'DOE25'!L328+'DOE25'!L333+'DOE25'!L334+'DOE25'!L335-F31-G31</f>
        <v>425932</v>
      </c>
      <c r="E31" s="243"/>
      <c r="F31" s="255">
        <f>'DOE25'!J290+'DOE25'!J309+'DOE25'!J328+'DOE25'!J333+'DOE25'!J334+'DOE25'!J335</f>
        <v>9810</v>
      </c>
      <c r="G31" s="53">
        <f>'DOE25'!K290+'DOE25'!K309+'DOE25'!K328+'DOE25'!K333+'DOE25'!K334+'DOE25'!K335</f>
        <v>18692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16023579</v>
      </c>
      <c r="E33" s="246">
        <f>SUM(E5:E31)</f>
        <v>541318</v>
      </c>
      <c r="F33" s="246">
        <f>SUM(F5:F31)</f>
        <v>280804</v>
      </c>
      <c r="G33" s="246">
        <f>SUM(G5:G31)</f>
        <v>66135</v>
      </c>
      <c r="H33" s="246">
        <f>SUM(H5:H31)</f>
        <v>543800</v>
      </c>
    </row>
    <row r="35" spans="2:8" ht="12" thickBot="1" x14ac:dyDescent="0.25">
      <c r="B35" s="253" t="s">
        <v>847</v>
      </c>
      <c r="D35" s="254">
        <f>E33</f>
        <v>541318</v>
      </c>
      <c r="E35" s="249"/>
    </row>
    <row r="36" spans="2:8" ht="12" thickTop="1" x14ac:dyDescent="0.2">
      <c r="B36" t="s">
        <v>815</v>
      </c>
      <c r="D36" s="20">
        <f>D33</f>
        <v>16023579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713402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400154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240351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50030</v>
      </c>
      <c r="D11" s="95">
        <f>'DOE25'!G12</f>
        <v>5974</v>
      </c>
      <c r="E11" s="95">
        <f>'DOE25'!H12</f>
        <v>34958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4536</v>
      </c>
      <c r="E12" s="95">
        <f>'DOE25'!H13</f>
        <v>131224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24276</v>
      </c>
      <c r="D13" s="95">
        <f>'DOE25'!G14</f>
        <v>782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42681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1070740</v>
      </c>
      <c r="D18" s="41">
        <f>SUM(D8:D17)</f>
        <v>11392</v>
      </c>
      <c r="E18" s="41">
        <f>SUM(E8:E17)</f>
        <v>166182</v>
      </c>
      <c r="F18" s="41">
        <f>SUM(F8:F17)</f>
        <v>0</v>
      </c>
      <c r="G18" s="41">
        <f>SUM(G8:G17)</f>
        <v>400154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-20620</v>
      </c>
      <c r="D22" s="95">
        <f>'DOE25'!G23</f>
        <v>0</v>
      </c>
      <c r="E22" s="95">
        <f>'DOE25'!H23</f>
        <v>111545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67234</v>
      </c>
      <c r="D23" s="95">
        <f>'DOE25'!G24</f>
        <v>182</v>
      </c>
      <c r="E23" s="95">
        <f>'DOE25'!H24</f>
        <v>5633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39972</v>
      </c>
      <c r="D27" s="95">
        <f>'DOE25'!G28</f>
        <v>0</v>
      </c>
      <c r="E27" s="95">
        <f>'DOE25'!H28</f>
        <v>5516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972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2869</v>
      </c>
      <c r="D29" s="95">
        <f>'DOE25'!G30</f>
        <v>11210</v>
      </c>
      <c r="E29" s="95">
        <f>'DOE25'!H30</f>
        <v>43488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90427</v>
      </c>
      <c r="D31" s="41">
        <f>SUM(D21:D30)</f>
        <v>11392</v>
      </c>
      <c r="E31" s="41">
        <f>SUM(E21:E30)</f>
        <v>166182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42681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287000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400154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70256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470376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980313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400154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1070740</v>
      </c>
      <c r="D51" s="41">
        <f>D50+D31</f>
        <v>11392</v>
      </c>
      <c r="E51" s="41">
        <f>E50+E31</f>
        <v>166182</v>
      </c>
      <c r="F51" s="41">
        <f>F50+F31</f>
        <v>0</v>
      </c>
      <c r="G51" s="41">
        <f>G50+G31</f>
        <v>400154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12862749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61285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170567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237168</v>
      </c>
      <c r="D61" s="95">
        <f>SUM('DOE25'!G98:G110)</f>
        <v>0</v>
      </c>
      <c r="E61" s="95">
        <f>SUM('DOE25'!H98:H110)</f>
        <v>131956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298680</v>
      </c>
      <c r="D62" s="130">
        <f>SUM(D57:D61)</f>
        <v>170567</v>
      </c>
      <c r="E62" s="130">
        <f>SUM(E57:E61)</f>
        <v>131956</v>
      </c>
      <c r="F62" s="130">
        <f>SUM(F57:F61)</f>
        <v>0</v>
      </c>
      <c r="G62" s="130">
        <f>SUM(G57:G61)</f>
        <v>237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13161429</v>
      </c>
      <c r="D63" s="22">
        <f>D56+D62</f>
        <v>170567</v>
      </c>
      <c r="E63" s="22">
        <f>E56+E62</f>
        <v>131956</v>
      </c>
      <c r="F63" s="22">
        <f>F56+F62</f>
        <v>0</v>
      </c>
      <c r="G63" s="22">
        <f>G56+G62</f>
        <v>237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1939804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1478163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3417967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149286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64870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5087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3764</v>
      </c>
      <c r="D77" s="95">
        <f>SUM('DOE25'!G131:G135)</f>
        <v>3246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223007</v>
      </c>
      <c r="D78" s="130">
        <f>SUM(D72:D77)</f>
        <v>3246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3640974</v>
      </c>
      <c r="D81" s="130">
        <f>SUM(D79:D80)+D78+D70</f>
        <v>3246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211057</v>
      </c>
      <c r="D88" s="95">
        <f>SUM('DOE25'!G153:G161)</f>
        <v>76350</v>
      </c>
      <c r="E88" s="95">
        <f>SUM('DOE25'!H153:H161)</f>
        <v>320760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211057</v>
      </c>
      <c r="D91" s="131">
        <f>SUM(D85:D90)</f>
        <v>76350</v>
      </c>
      <c r="E91" s="131">
        <f>SUM(E85:E90)</f>
        <v>320760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123169</v>
      </c>
      <c r="E96" s="95">
        <f>'DOE25'!H179</f>
        <v>2284</v>
      </c>
      <c r="F96" s="95">
        <f>'DOE25'!I179</f>
        <v>0</v>
      </c>
      <c r="G96" s="95">
        <f>'DOE25'!J179</f>
        <v>121000</v>
      </c>
    </row>
    <row r="97" spans="1:7" x14ac:dyDescent="0.2">
      <c r="A97" t="s">
        <v>758</v>
      </c>
      <c r="B97" s="32" t="s">
        <v>188</v>
      </c>
      <c r="C97" s="95">
        <f>SUM('DOE25'!F180:F181)</f>
        <v>417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417</v>
      </c>
      <c r="D103" s="86">
        <f>SUM(D93:D102)</f>
        <v>123169</v>
      </c>
      <c r="E103" s="86">
        <f>SUM(E93:E102)</f>
        <v>2284</v>
      </c>
      <c r="F103" s="86">
        <f>SUM(F93:F102)</f>
        <v>0</v>
      </c>
      <c r="G103" s="86">
        <f>SUM(G93:G102)</f>
        <v>121000</v>
      </c>
    </row>
    <row r="104" spans="1:7" ht="12.75" thickTop="1" thickBot="1" x14ac:dyDescent="0.25">
      <c r="A104" s="33" t="s">
        <v>765</v>
      </c>
      <c r="C104" s="86">
        <f>C63+C81+C91+C103</f>
        <v>17013877</v>
      </c>
      <c r="D104" s="86">
        <f>D63+D81+D91+D103</f>
        <v>373332</v>
      </c>
      <c r="E104" s="86">
        <f>E63+E81+E91+E103</f>
        <v>455000</v>
      </c>
      <c r="F104" s="86">
        <f>F63+F81+F91+F103</f>
        <v>0</v>
      </c>
      <c r="G104" s="86">
        <f>G63+G81+G103</f>
        <v>121237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7094529</v>
      </c>
      <c r="D109" s="24" t="s">
        <v>289</v>
      </c>
      <c r="E109" s="95">
        <f>('DOE25'!L276)+('DOE25'!L295)+('DOE25'!L314)</f>
        <v>177421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2695548</v>
      </c>
      <c r="D110" s="24" t="s">
        <v>289</v>
      </c>
      <c r="E110" s="95">
        <f>('DOE25'!L277)+('DOE25'!L296)+('DOE25'!L315)</f>
        <v>203250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38412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350410</v>
      </c>
      <c r="D112" s="24" t="s">
        <v>289</v>
      </c>
      <c r="E112" s="95">
        <f>+('DOE25'!L279)+('DOE25'!L298)+('DOE25'!L317)</f>
        <v>1739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149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2483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10178899</v>
      </c>
      <c r="D115" s="86">
        <f>SUM(D109:D114)</f>
        <v>0</v>
      </c>
      <c r="E115" s="86">
        <f>SUM(E109:E114)</f>
        <v>385042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1336147</v>
      </c>
      <c r="D118" s="24" t="s">
        <v>289</v>
      </c>
      <c r="E118" s="95">
        <f>+('DOE25'!L281)+('DOE25'!L300)+('DOE25'!L319)</f>
        <v>2213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907427</v>
      </c>
      <c r="D119" s="24" t="s">
        <v>289</v>
      </c>
      <c r="E119" s="95">
        <f>+('DOE25'!L282)+('DOE25'!L301)+('DOE25'!L320)</f>
        <v>62761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572347</v>
      </c>
      <c r="D120" s="24" t="s">
        <v>289</v>
      </c>
      <c r="E120" s="95">
        <f>+('DOE25'!L283)+('DOE25'!L302)+('DOE25'!L321)</f>
        <v>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833402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325363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1286674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695338</v>
      </c>
      <c r="D124" s="24" t="s">
        <v>289</v>
      </c>
      <c r="E124" s="95">
        <f>+('DOE25'!L287)+('DOE25'!L306)+('DOE25'!L325)</f>
        <v>4067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373332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5956698</v>
      </c>
      <c r="D128" s="86">
        <f>SUM(D118:D127)</f>
        <v>373332</v>
      </c>
      <c r="E128" s="86">
        <f>SUM(E118:E127)</f>
        <v>69541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53460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465000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78800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417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123169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2284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110017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11220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843713</v>
      </c>
      <c r="D144" s="141">
        <f>SUM(D130:D143)</f>
        <v>0</v>
      </c>
      <c r="E144" s="141">
        <f>SUM(E130:E143)</f>
        <v>417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16979310</v>
      </c>
      <c r="D145" s="86">
        <f>(D115+D128+D144)</f>
        <v>373332</v>
      </c>
      <c r="E145" s="86">
        <f>(E115+E128+E144)</f>
        <v>455000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4745000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3.5-5.0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2005000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2005000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465000</v>
      </c>
    </row>
    <row r="159" spans="1:9" x14ac:dyDescent="0.2">
      <c r="A159" s="22" t="s">
        <v>35</v>
      </c>
      <c r="B159" s="137">
        <f>'DOE25'!F498</f>
        <v>1540000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1540000</v>
      </c>
    </row>
    <row r="160" spans="1:9" x14ac:dyDescent="0.2">
      <c r="A160" s="22" t="s">
        <v>36</v>
      </c>
      <c r="B160" s="137">
        <f>'DOE25'!F499</f>
        <v>109650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109650</v>
      </c>
    </row>
    <row r="161" spans="1:7" x14ac:dyDescent="0.2">
      <c r="A161" s="22" t="s">
        <v>37</v>
      </c>
      <c r="B161" s="137">
        <f>'DOE25'!F500</f>
        <v>1649650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1649650</v>
      </c>
    </row>
    <row r="162" spans="1:7" x14ac:dyDescent="0.2">
      <c r="A162" s="22" t="s">
        <v>38</v>
      </c>
      <c r="B162" s="137">
        <f>'DOE25'!F501</f>
        <v>490000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490000</v>
      </c>
    </row>
    <row r="163" spans="1:7" x14ac:dyDescent="0.2">
      <c r="A163" s="22" t="s">
        <v>39</v>
      </c>
      <c r="B163" s="137">
        <f>'DOE25'!F502</f>
        <v>58700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58700</v>
      </c>
    </row>
    <row r="164" spans="1:7" x14ac:dyDescent="0.2">
      <c r="A164" s="22" t="s">
        <v>246</v>
      </c>
      <c r="B164" s="137">
        <f>'DOE25'!F503</f>
        <v>548700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548700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81" orientation="landscape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HOPKINTON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17647</v>
      </c>
    </row>
    <row r="5" spans="1:4" x14ac:dyDescent="0.2">
      <c r="B5" t="s">
        <v>704</v>
      </c>
      <c r="C5" s="179">
        <f>IF('DOE25'!G665+'DOE25'!G670=0,0,ROUND('DOE25'!G672,0))</f>
        <v>17895</v>
      </c>
    </row>
    <row r="6" spans="1:4" x14ac:dyDescent="0.2">
      <c r="B6" t="s">
        <v>62</v>
      </c>
      <c r="C6" s="179">
        <f>IF('DOE25'!H665+'DOE25'!H670=0,0,ROUND('DOE25'!H672,0))</f>
        <v>19988</v>
      </c>
    </row>
    <row r="7" spans="1:4" x14ac:dyDescent="0.2">
      <c r="B7" t="s">
        <v>705</v>
      </c>
      <c r="C7" s="179">
        <f>IF('DOE25'!I665+'DOE25'!I670=0,0,ROUND('DOE25'!I672,0))</f>
        <v>18397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7271950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2898798</v>
      </c>
      <c r="D11" s="182">
        <f>ROUND((C11/$C$28)*100,1)</f>
        <v>17.2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38412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352149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1338360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970188</v>
      </c>
      <c r="D16" s="182">
        <f t="shared" si="0"/>
        <v>5.8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572847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833402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325363</v>
      </c>
      <c r="D19" s="182">
        <f t="shared" si="0"/>
        <v>1.9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1286674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699405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149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2483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78800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202765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16871745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53460</v>
      </c>
    </row>
    <row r="30" spans="1:4" x14ac:dyDescent="0.2">
      <c r="B30" s="187" t="s">
        <v>729</v>
      </c>
      <c r="C30" s="180">
        <f>SUM(C28:C29)</f>
        <v>16925205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465000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12862749</v>
      </c>
      <c r="D35" s="182">
        <f t="shared" ref="D35:D40" si="1">ROUND((C35/$C$41)*100,1)</f>
        <v>73.3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430873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3417967</v>
      </c>
      <c r="D37" s="182">
        <f t="shared" si="1"/>
        <v>19.5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226253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608167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17546009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F2" sqref="F2:I2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HOPKINTON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2015-08-25T14:26:58Z</cp:lastPrinted>
  <dcterms:created xsi:type="dcterms:W3CDTF">1997-12-04T19:04:30Z</dcterms:created>
  <dcterms:modified xsi:type="dcterms:W3CDTF">2015-11-25T18:30:16Z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