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D11" i="13" l="1"/>
  <c r="D9" i="13" l="1"/>
  <c r="C30" i="12"/>
  <c r="C29" i="12"/>
  <c r="C28" i="12"/>
  <c r="B30" i="12"/>
  <c r="C21" i="12"/>
  <c r="C20" i="12"/>
  <c r="C19" i="12"/>
  <c r="C12" i="12"/>
  <c r="C11" i="12"/>
  <c r="C10" i="12"/>
  <c r="B11" i="12" l="1"/>
  <c r="B10" i="12"/>
  <c r="G563" i="1" l="1"/>
  <c r="F563" i="1"/>
  <c r="J562" i="1"/>
  <c r="I562" i="1"/>
  <c r="F498" i="1" l="1"/>
  <c r="J604" i="1"/>
  <c r="I604" i="1"/>
  <c r="H604" i="1"/>
  <c r="K333" i="1"/>
  <c r="H48" i="1"/>
  <c r="H49" i="1"/>
  <c r="H333" i="1" l="1"/>
  <c r="K316" i="1"/>
  <c r="J316" i="1"/>
  <c r="I316" i="1"/>
  <c r="H316" i="1"/>
  <c r="G316" i="1"/>
  <c r="F316" i="1"/>
  <c r="H104" i="1" l="1"/>
  <c r="H96" i="1"/>
  <c r="H24" i="1"/>
  <c r="H9" i="1"/>
  <c r="I360" i="1" l="1"/>
  <c r="I359" i="1"/>
  <c r="I358" i="1"/>
  <c r="G158" i="1" l="1"/>
  <c r="G9" i="1" l="1"/>
  <c r="J472" i="1"/>
  <c r="J468" i="1"/>
  <c r="G459" i="1"/>
  <c r="G439" i="1"/>
  <c r="J591" i="1" l="1"/>
  <c r="I591" i="1"/>
  <c r="H591" i="1"/>
  <c r="H595" i="1"/>
  <c r="H226" i="1"/>
  <c r="J593" i="1"/>
  <c r="H244" i="1"/>
  <c r="H235" i="1"/>
  <c r="H202" i="1"/>
  <c r="H208" i="1"/>
  <c r="H233" i="1"/>
  <c r="J595" i="1"/>
  <c r="H236" i="1"/>
  <c r="H218" i="1"/>
  <c r="F472" i="1" l="1"/>
  <c r="I197" i="1"/>
  <c r="F127" i="1"/>
  <c r="H243" i="1" l="1"/>
  <c r="J239" i="1"/>
  <c r="I239" i="1"/>
  <c r="H239" i="1"/>
  <c r="I235" i="1"/>
  <c r="J233" i="1"/>
  <c r="J242" i="1"/>
  <c r="J240" i="1"/>
  <c r="H225" i="1"/>
  <c r="J221" i="1"/>
  <c r="J215" i="1"/>
  <c r="J224" i="1"/>
  <c r="J222" i="1"/>
  <c r="I221" i="1"/>
  <c r="H221" i="1"/>
  <c r="H207" i="1"/>
  <c r="I205" i="1"/>
  <c r="J203" i="1"/>
  <c r="J197" i="1"/>
  <c r="J206" i="1"/>
  <c r="J204" i="1"/>
  <c r="I203" i="1"/>
  <c r="H203" i="1"/>
  <c r="F110" i="1" l="1"/>
  <c r="F70" i="1"/>
  <c r="F63" i="1"/>
  <c r="F468" i="1"/>
  <c r="F29" i="1"/>
  <c r="F9" i="1"/>
  <c r="I528" i="1"/>
  <c r="G528" i="1"/>
  <c r="F528" i="1"/>
  <c r="H527" i="1"/>
  <c r="G527" i="1"/>
  <c r="F527" i="1"/>
  <c r="H526" i="1"/>
  <c r="G526" i="1"/>
  <c r="F526" i="1"/>
  <c r="J243" i="1" l="1"/>
  <c r="J238" i="1" l="1"/>
  <c r="K233" i="1"/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E16" i="13" s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50" i="1" s="1"/>
  <c r="L244" i="1"/>
  <c r="H662" i="1" s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D19" i="13" s="1"/>
  <c r="C19" i="13" s="1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E120" i="2" s="1"/>
  <c r="L284" i="1"/>
  <c r="L285" i="1"/>
  <c r="E122" i="2" s="1"/>
  <c r="L286" i="1"/>
  <c r="L287" i="1"/>
  <c r="E124" i="2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32" i="10" s="1"/>
  <c r="L261" i="1"/>
  <c r="C25" i="10" s="1"/>
  <c r="L341" i="1"/>
  <c r="L342" i="1"/>
  <c r="L351" i="1" s="1"/>
  <c r="L255" i="1"/>
  <c r="F22" i="13" s="1"/>
  <c r="C22" i="13" s="1"/>
  <c r="L336" i="1"/>
  <c r="C11" i="13"/>
  <c r="C10" i="13"/>
  <c r="C9" i="13"/>
  <c r="L361" i="1"/>
  <c r="B4" i="12"/>
  <c r="B36" i="12"/>
  <c r="A40" i="12" s="1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E57" i="2" s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L250" i="1"/>
  <c r="L332" i="1"/>
  <c r="L254" i="1"/>
  <c r="L268" i="1"/>
  <c r="C142" i="2" s="1"/>
  <c r="L269" i="1"/>
  <c r="L349" i="1"/>
  <c r="L350" i="1"/>
  <c r="I665" i="1"/>
  <c r="I670" i="1"/>
  <c r="F662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L270" i="1" s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C18" i="2" s="1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C49" i="2"/>
  <c r="C56" i="2"/>
  <c r="D56" i="2"/>
  <c r="E56" i="2"/>
  <c r="F56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C78" i="2" s="1"/>
  <c r="E76" i="2"/>
  <c r="F76" i="2"/>
  <c r="F78" i="2" s="1"/>
  <c r="F81" i="2" s="1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 s="1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2" i="2"/>
  <c r="C113" i="2"/>
  <c r="E113" i="2"/>
  <c r="C114" i="2"/>
  <c r="D115" i="2"/>
  <c r="F115" i="2"/>
  <c r="G115" i="2"/>
  <c r="E119" i="2"/>
  <c r="E121" i="2"/>
  <c r="E123" i="2"/>
  <c r="C125" i="2"/>
  <c r="E125" i="2"/>
  <c r="F128" i="2"/>
  <c r="G128" i="2"/>
  <c r="E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H645" i="1" s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G460" i="1" s="1"/>
  <c r="G461" i="1" s="1"/>
  <c r="H640" i="1" s="1"/>
  <c r="H452" i="1"/>
  <c r="F460" i="1"/>
  <c r="F461" i="1" s="1"/>
  <c r="H639" i="1" s="1"/>
  <c r="H460" i="1"/>
  <c r="H461" i="1" s="1"/>
  <c r="H641" i="1" s="1"/>
  <c r="F470" i="1"/>
  <c r="G470" i="1"/>
  <c r="H470" i="1"/>
  <c r="H476" i="1" s="1"/>
  <c r="H624" i="1" s="1"/>
  <c r="I470" i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H571" i="1" s="1"/>
  <c r="I560" i="1"/>
  <c r="J560" i="1"/>
  <c r="K560" i="1"/>
  <c r="L562" i="1"/>
  <c r="L563" i="1"/>
  <c r="L564" i="1"/>
  <c r="F565" i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19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41" i="1"/>
  <c r="G643" i="1"/>
  <c r="H643" i="1"/>
  <c r="G644" i="1"/>
  <c r="G651" i="1"/>
  <c r="G652" i="1"/>
  <c r="H652" i="1"/>
  <c r="G653" i="1"/>
  <c r="H653" i="1"/>
  <c r="G654" i="1"/>
  <c r="H654" i="1"/>
  <c r="H655" i="1"/>
  <c r="F192" i="1"/>
  <c r="C91" i="2"/>
  <c r="G157" i="2"/>
  <c r="E78" i="2"/>
  <c r="L427" i="1"/>
  <c r="K571" i="1"/>
  <c r="I169" i="1"/>
  <c r="J643" i="1"/>
  <c r="I476" i="1"/>
  <c r="H625" i="1" s="1"/>
  <c r="J140" i="1"/>
  <c r="I552" i="1"/>
  <c r="H140" i="1"/>
  <c r="L560" i="1"/>
  <c r="G192" i="1"/>
  <c r="C35" i="10"/>
  <c r="L570" i="1"/>
  <c r="G36" i="2"/>
  <c r="J617" i="1" l="1"/>
  <c r="A31" i="12"/>
  <c r="A13" i="12"/>
  <c r="F571" i="1"/>
  <c r="L565" i="1"/>
  <c r="J571" i="1"/>
  <c r="G338" i="1"/>
  <c r="G352" i="1" s="1"/>
  <c r="L328" i="1"/>
  <c r="H338" i="1"/>
  <c r="H352" i="1" s="1"/>
  <c r="E118" i="2"/>
  <c r="E128" i="2" s="1"/>
  <c r="C11" i="10"/>
  <c r="L309" i="1"/>
  <c r="J338" i="1"/>
  <c r="J352" i="1" s="1"/>
  <c r="E109" i="2"/>
  <c r="E111" i="2"/>
  <c r="F338" i="1"/>
  <c r="F352" i="1" s="1"/>
  <c r="E62" i="2"/>
  <c r="E63" i="2" s="1"/>
  <c r="G624" i="1"/>
  <c r="J624" i="1" s="1"/>
  <c r="E31" i="2"/>
  <c r="G476" i="1"/>
  <c r="H623" i="1" s="1"/>
  <c r="I369" i="1"/>
  <c r="H634" i="1" s="1"/>
  <c r="J634" i="1"/>
  <c r="D29" i="13"/>
  <c r="C29" i="13" s="1"/>
  <c r="F661" i="1"/>
  <c r="G661" i="1"/>
  <c r="D127" i="2"/>
  <c r="D128" i="2" s="1"/>
  <c r="D145" i="2" s="1"/>
  <c r="L362" i="1"/>
  <c r="G635" i="1" s="1"/>
  <c r="J635" i="1" s="1"/>
  <c r="H661" i="1"/>
  <c r="J623" i="1"/>
  <c r="D31" i="2"/>
  <c r="D18" i="2"/>
  <c r="J644" i="1"/>
  <c r="L393" i="1"/>
  <c r="C138" i="2" s="1"/>
  <c r="I459" i="1"/>
  <c r="J48" i="1" s="1"/>
  <c r="G47" i="2" s="1"/>
  <c r="J639" i="1"/>
  <c r="J641" i="1"/>
  <c r="I452" i="1"/>
  <c r="J640" i="1"/>
  <c r="I446" i="1"/>
  <c r="G642" i="1" s="1"/>
  <c r="L433" i="1"/>
  <c r="L434" i="1" s="1"/>
  <c r="G638" i="1" s="1"/>
  <c r="J638" i="1" s="1"/>
  <c r="I408" i="1"/>
  <c r="L401" i="1"/>
  <c r="C139" i="2" s="1"/>
  <c r="G645" i="1"/>
  <c r="J645" i="1" s="1"/>
  <c r="K598" i="1"/>
  <c r="G647" i="1" s="1"/>
  <c r="J651" i="1"/>
  <c r="F112" i="1"/>
  <c r="C36" i="10" s="1"/>
  <c r="F476" i="1"/>
  <c r="H622" i="1" s="1"/>
  <c r="J622" i="1" s="1"/>
  <c r="G552" i="1"/>
  <c r="K550" i="1"/>
  <c r="J552" i="1"/>
  <c r="L544" i="1"/>
  <c r="H545" i="1"/>
  <c r="J545" i="1"/>
  <c r="I545" i="1"/>
  <c r="G545" i="1"/>
  <c r="H552" i="1"/>
  <c r="L534" i="1"/>
  <c r="K551" i="1"/>
  <c r="K545" i="1"/>
  <c r="L524" i="1"/>
  <c r="F552" i="1"/>
  <c r="K549" i="1"/>
  <c r="C131" i="2"/>
  <c r="C130" i="2"/>
  <c r="C29" i="10"/>
  <c r="L256" i="1"/>
  <c r="C118" i="2"/>
  <c r="C12" i="10"/>
  <c r="L247" i="1"/>
  <c r="K257" i="1"/>
  <c r="K271" i="1" s="1"/>
  <c r="F257" i="1"/>
  <c r="F271" i="1" s="1"/>
  <c r="G662" i="1"/>
  <c r="I662" i="1" s="1"/>
  <c r="C21" i="10"/>
  <c r="C20" i="10"/>
  <c r="C19" i="10"/>
  <c r="C17" i="10"/>
  <c r="C16" i="10"/>
  <c r="D6" i="13"/>
  <c r="C6" i="13" s="1"/>
  <c r="C15" i="10"/>
  <c r="C112" i="2"/>
  <c r="J257" i="1"/>
  <c r="J271" i="1" s="1"/>
  <c r="I257" i="1"/>
  <c r="I271" i="1" s="1"/>
  <c r="C110" i="2"/>
  <c r="L229" i="1"/>
  <c r="G660" i="1" s="1"/>
  <c r="H257" i="1"/>
  <c r="H271" i="1" s="1"/>
  <c r="G257" i="1"/>
  <c r="G271" i="1" s="1"/>
  <c r="C10" i="10"/>
  <c r="C123" i="2"/>
  <c r="D14" i="13"/>
  <c r="C14" i="13" s="1"/>
  <c r="D7" i="13"/>
  <c r="C7" i="13" s="1"/>
  <c r="C119" i="2"/>
  <c r="D15" i="13"/>
  <c r="C15" i="13" s="1"/>
  <c r="G649" i="1"/>
  <c r="J649" i="1" s="1"/>
  <c r="C124" i="2"/>
  <c r="C122" i="2"/>
  <c r="D12" i="13"/>
  <c r="C12" i="13" s="1"/>
  <c r="C18" i="10"/>
  <c r="C121" i="2"/>
  <c r="C120" i="2"/>
  <c r="C13" i="10"/>
  <c r="C109" i="2"/>
  <c r="D5" i="13"/>
  <c r="C5" i="13" s="1"/>
  <c r="L211" i="1"/>
  <c r="C16" i="13"/>
  <c r="C81" i="2"/>
  <c r="E13" i="13"/>
  <c r="C13" i="13" s="1"/>
  <c r="E8" i="13"/>
  <c r="C8" i="13" s="1"/>
  <c r="L290" i="1"/>
  <c r="C26" i="10"/>
  <c r="L539" i="1"/>
  <c r="K503" i="1"/>
  <c r="L382" i="1"/>
  <c r="G636" i="1" s="1"/>
  <c r="J636" i="1" s="1"/>
  <c r="K338" i="1"/>
  <c r="K352" i="1" s="1"/>
  <c r="C62" i="2"/>
  <c r="C63" i="2" s="1"/>
  <c r="H25" i="13"/>
  <c r="E81" i="2"/>
  <c r="H647" i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J618" i="1"/>
  <c r="G42" i="2"/>
  <c r="G16" i="2"/>
  <c r="G18" i="2" s="1"/>
  <c r="J19" i="1"/>
  <c r="G621" i="1" s="1"/>
  <c r="F545" i="1"/>
  <c r="H434" i="1"/>
  <c r="J620" i="1"/>
  <c r="J619" i="1"/>
  <c r="D103" i="2"/>
  <c r="D104" i="2" s="1"/>
  <c r="I140" i="1"/>
  <c r="I193" i="1" s="1"/>
  <c r="G630" i="1" s="1"/>
  <c r="J630" i="1" s="1"/>
  <c r="A22" i="12"/>
  <c r="J652" i="1"/>
  <c r="G571" i="1"/>
  <c r="I434" i="1"/>
  <c r="G434" i="1"/>
  <c r="I663" i="1"/>
  <c r="H660" i="1" l="1"/>
  <c r="D31" i="13"/>
  <c r="C31" i="13" s="1"/>
  <c r="L338" i="1"/>
  <c r="L352" i="1" s="1"/>
  <c r="G633" i="1" s="1"/>
  <c r="J633" i="1" s="1"/>
  <c r="E115" i="2"/>
  <c r="E145" i="2" s="1"/>
  <c r="E104" i="2"/>
  <c r="G664" i="1"/>
  <c r="G667" i="1" s="1"/>
  <c r="I661" i="1"/>
  <c r="C27" i="10"/>
  <c r="H664" i="1"/>
  <c r="H672" i="1" s="1"/>
  <c r="C6" i="10" s="1"/>
  <c r="G50" i="2"/>
  <c r="G51" i="2" s="1"/>
  <c r="I460" i="1"/>
  <c r="I461" i="1" s="1"/>
  <c r="H642" i="1" s="1"/>
  <c r="J642" i="1" s="1"/>
  <c r="J51" i="1"/>
  <c r="G626" i="1" s="1"/>
  <c r="J626" i="1" s="1"/>
  <c r="C141" i="2"/>
  <c r="C144" i="2" s="1"/>
  <c r="J647" i="1"/>
  <c r="C104" i="2"/>
  <c r="F193" i="1"/>
  <c r="G627" i="1" s="1"/>
  <c r="J627" i="1" s="1"/>
  <c r="K552" i="1"/>
  <c r="L545" i="1"/>
  <c r="L257" i="1"/>
  <c r="L271" i="1" s="1"/>
  <c r="G632" i="1" s="1"/>
  <c r="J632" i="1" s="1"/>
  <c r="H648" i="1"/>
  <c r="J648" i="1" s="1"/>
  <c r="C115" i="2"/>
  <c r="C128" i="2"/>
  <c r="C28" i="10"/>
  <c r="D22" i="10" s="1"/>
  <c r="F660" i="1"/>
  <c r="F664" i="1" s="1"/>
  <c r="F672" i="1" s="1"/>
  <c r="C4" i="10" s="1"/>
  <c r="C25" i="13"/>
  <c r="H33" i="13"/>
  <c r="G104" i="2"/>
  <c r="E33" i="13"/>
  <c r="D35" i="13" s="1"/>
  <c r="L408" i="1"/>
  <c r="C51" i="2"/>
  <c r="G631" i="1"/>
  <c r="J631" i="1" s="1"/>
  <c r="G193" i="1"/>
  <c r="G628" i="1" s="1"/>
  <c r="J628" i="1" s="1"/>
  <c r="C38" i="10"/>
  <c r="G672" i="1" l="1"/>
  <c r="C5" i="10" s="1"/>
  <c r="D33" i="13"/>
  <c r="D36" i="13" s="1"/>
  <c r="H667" i="1"/>
  <c r="J52" i="1"/>
  <c r="H621" i="1" s="1"/>
  <c r="J621" i="1" s="1"/>
  <c r="C145" i="2"/>
  <c r="D16" i="10"/>
  <c r="D17" i="10"/>
  <c r="D26" i="10"/>
  <c r="D27" i="10"/>
  <c r="D24" i="10"/>
  <c r="D10" i="10"/>
  <c r="C30" i="10"/>
  <c r="D23" i="10"/>
  <c r="D18" i="10"/>
  <c r="D12" i="10"/>
  <c r="D20" i="10"/>
  <c r="D15" i="10"/>
  <c r="D25" i="10"/>
  <c r="D19" i="10"/>
  <c r="D13" i="10"/>
  <c r="D11" i="10"/>
  <c r="D21" i="10"/>
  <c r="I660" i="1"/>
  <c r="I664" i="1" s="1"/>
  <c r="I672" i="1" s="1"/>
  <c r="C7" i="10" s="1"/>
  <c r="F667" i="1"/>
  <c r="G637" i="1"/>
  <c r="J637" i="1" s="1"/>
  <c r="H646" i="1"/>
  <c r="J646" i="1" s="1"/>
  <c r="C41" i="10"/>
  <c r="D38" i="10" s="1"/>
  <c r="I667" i="1" l="1"/>
  <c r="D28" i="10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<sst xmlns="http://schemas.openxmlformats.org/spreadsheetml/2006/main" count="3957" uniqueCount="915">
  <si>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</si>
  <si>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</si>
  <si>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</si>
  <si>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</si>
  <si>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</si>
  <si>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</si>
  <si>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</si>
  <si>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</si>
  <si>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</si>
  <si>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</si>
  <si>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</si>
  <si>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</si>
  <si>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</si>
  <si>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</si>
  <si>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</si>
  <si>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</si>
  <si>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</si>
  <si>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</si>
  <si>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</si>
  <si>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</si>
  <si>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</si>
  <si>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</si>
  <si>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</si>
  <si>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</si>
  <si>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</si>
  <si>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</si>
  <si>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</si>
  <si>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</si>
  <si>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</si>
  <si>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</si>
  <si>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</si>
  <si>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</si>
  <si>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</si>
  <si>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</si>
  <si>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</si>
  <si>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</si>
  <si>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</si>
  <si>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</si>
  <si>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</si>
  <si>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</si>
  <si>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</si>
  <si>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</si>
  <si>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</si>
  <si>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</si>
  <si>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</si>
  <si>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</si>
  <si>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</si>
  <si>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</si>
  <si>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</si>
  <si>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</si>
  <si>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</si>
  <si>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</si>
  <si>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</si>
  <si>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</si>
  <si>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</si>
  <si>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</si>
  <si>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</si>
  <si>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</si>
  <si>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</si>
  <si>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</si>
  <si>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</si>
  <si>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</si>
  <si>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</si>
  <si>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</si>
  <si>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</si>
  <si>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</si>
  <si>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</si>
  <si>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</si>
  <si>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</si>
  <si>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</si>
  <si>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</si>
  <si>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</si>
  <si>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</si>
  <si>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</si>
  <si>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</si>
  <si>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</si>
  <si>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</si>
  <si>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</si>
  <si>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</si>
  <si>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</si>
  <si>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</si>
  <si>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</si>
  <si>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</si>
  <si>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</si>
  <si>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</si>
  <si>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</si>
  <si>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</si>
  <si>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</si>
  <si>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</si>
  <si>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</si>
  <si>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</si>
  <si>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</si>
  <si>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</si>
  <si>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</si>
  <si>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</si>
  <si>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</si>
  <si>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</si>
  <si>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</si>
  <si>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</si>
  <si>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</si>
  <si>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</si>
  <si>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</si>
  <si>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</si>
  <si>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</si>
  <si>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</si>
  <si>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</si>
  <si>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</si>
  <si>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</si>
  <si>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</si>
  <si>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</si>
  <si>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</si>
  <si>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</si>
  <si>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</si>
  <si>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</si>
  <si>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</si>
  <si>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</si>
  <si>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</si>
  <si>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</si>
  <si>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</si>
  <si>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</si>
  <si>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</si>
  <si>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</si>
  <si>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</si>
  <si>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</si>
  <si>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</si>
  <si>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</si>
  <si>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</si>
  <si>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</si>
  <si>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</si>
  <si>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</si>
  <si>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</si>
  <si>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</si>
  <si>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</si>
  <si>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</si>
  <si>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</si>
  <si>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</si>
  <si>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</si>
  <si>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</si>
  <si>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</si>
  <si>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</si>
  <si>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</si>
  <si>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</si>
  <si>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</si>
  <si>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</si>
  <si>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</si>
  <si>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</si>
  <si>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</si>
  <si>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</si>
  <si>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</si>
  <si>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</si>
  <si>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</si>
  <si>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</si>
  <si>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</si>
  <si>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</si>
  <si>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</si>
  <si>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</si>
  <si>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</si>
  <si>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</si>
  <si>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</si>
  <si>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</si>
  <si>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</si>
  <si>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</si>
  <si>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</si>
  <si>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</si>
  <si>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</si>
  <si>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</si>
  <si>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</si>
  <si>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</si>
  <si>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</si>
  <si>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</si>
  <si>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</si>
  <si>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</si>
  <si>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</si>
  <si>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</si>
  <si>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</si>
  <si>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</si>
  <si>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</si>
  <si>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</si>
  <si>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</si>
  <si>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</si>
  <si>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</si>
  <si>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</si>
  <si>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</si>
  <si>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</si>
  <si>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</si>
  <si>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</si>
  <si>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</si>
  <si>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</si>
  <si>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</si>
  <si>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</si>
  <si>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</si>
  <si>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</si>
  <si>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</si>
  <si>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</si>
  <si>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</si>
  <si>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</si>
  <si>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</si>
  <si>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</si>
  <si>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</si>
  <si>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</si>
  <si>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</si>
  <si>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</si>
  <si>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</si>
  <si>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</si>
  <si>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</si>
  <si>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</si>
  <si>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</si>
  <si>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</si>
  <si>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</si>
  <si>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</si>
  <si>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</si>
  <si>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</si>
  <si>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</si>
  <si>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</si>
  <si>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</si>
  <si>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</si>
  <si>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</si>
  <si>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</si>
  <si>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</si>
  <si>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</si>
  <si>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</si>
  <si>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</si>
  <si>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</si>
  <si>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</si>
  <si>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</si>
  <si>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</si>
  <si>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</si>
  <si>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</si>
  <si>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</si>
  <si>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</si>
  <si>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</si>
  <si>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</si>
  <si>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</si>
  <si>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</si>
  <si>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</si>
  <si>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</si>
  <si>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</si>
  <si>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</si>
  <si>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</si>
  <si>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</si>
  <si>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</si>
  <si>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</si>
  <si>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</si>
  <si>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</si>
  <si>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</si>
  <si>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</si>
  <si>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</si>
  <si>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</si>
  <si>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</si>
  <si>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</si>
  <si>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</si>
  <si>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</si>
  <si>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</si>
  <si>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</si>
  <si>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</si>
  <si>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</si>
  <si>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</si>
  <si>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</si>
  <si>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</si>
  <si>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</si>
  <si>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</si>
  <si>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</si>
  <si>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</si>
  <si>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</si>
  <si>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</si>
  <si>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</si>
  <si>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</si>
  <si>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</si>
  <si>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</si>
  <si>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</si>
  <si>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</si>
  <si>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</si>
  <si>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</si>
  <si>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</si>
  <si>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</si>
  <si>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</si>
  <si>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</si>
  <si>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</si>
  <si>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</si>
  <si>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</si>
  <si>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</si>
  <si>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</si>
  <si>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</si>
  <si>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</si>
  <si>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</si>
  <si>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</si>
  <si>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</si>
  <si>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</si>
  <si>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</si>
  <si>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</si>
  <si>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</si>
  <si>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</si>
  <si>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</si>
  <si>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</si>
  <si>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</si>
  <si>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</si>
  <si>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</si>
  <si>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</si>
  <si>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</si>
  <si>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</si>
  <si>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</si>
  <si>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</si>
  <si>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</si>
  <si>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</si>
  <si>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</si>
  <si>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</si>
  <si>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</si>
  <si>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</si>
  <si>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</si>
  <si>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</si>
  <si>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</si>
  <si>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</si>
  <si>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</si>
  <si>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</si>
  <si>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</si>
  <si>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</si>
  <si>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</si>
  <si>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</si>
  <si>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</si>
  <si>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</si>
  <si>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</si>
  <si>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</si>
  <si>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</si>
  <si>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</si>
  <si>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</si>
  <si>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</si>
  <si>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</si>
  <si>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</si>
  <si>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</si>
  <si>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</si>
  <si>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</si>
  <si>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</si>
  <si>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</si>
  <si>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</si>
  <si>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</si>
  <si>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</si>
  <si>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</si>
  <si>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</si>
  <si>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</si>
  <si>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</si>
  <si>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</si>
  <si>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</si>
  <si>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</si>
  <si>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</si>
  <si>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</si>
  <si>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</si>
  <si>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</si>
  <si>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</si>
  <si>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</si>
  <si>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</si>
  <si>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</si>
  <si>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</si>
  <si>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</si>
  <si>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</si>
  <si>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</si>
  <si>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</si>
  <si>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</si>
  <si>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</si>
  <si>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</si>
  <si>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</si>
  <si>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</si>
  <si>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</si>
  <si>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</si>
  <si>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</si>
  <si>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</si>
  <si>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</si>
  <si>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</si>
  <si>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</si>
  <si>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</si>
  <si>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</si>
  <si>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</si>
  <si>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</si>
  <si>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</si>
  <si>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</si>
  <si>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</si>
  <si>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</si>
  <si>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</si>
  <si>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</si>
  <si>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</si>
  <si>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</si>
  <si>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</si>
  <si>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</si>
  <si>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</si>
  <si>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</si>
  <si>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</si>
  <si>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</si>
  <si>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</si>
  <si>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</si>
  <si>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</si>
  <si>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</si>
  <si>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</si>
  <si>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</si>
  <si>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</si>
  <si>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</si>
  <si>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</si>
  <si>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</si>
  <si>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</si>
  <si>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</si>
  <si>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</si>
  <si>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</si>
  <si>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</si>
  <si>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</si>
  <si>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</si>
  <si>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</si>
  <si>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</si>
  <si>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</si>
  <si>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</si>
  <si>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</si>
  <si>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</si>
  <si>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</si>
  <si>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</si>
  <si>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</si>
  <si>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</si>
  <si>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</si>
  <si>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</si>
  <si>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</si>
  <si>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</si>
  <si>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</si>
  <si>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</si>
  <si>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</si>
  <si>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</si>
  <si>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</si>
  <si>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</si>
  <si>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</si>
  <si>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</si>
  <si>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</si>
  <si>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</si>
  <si>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</si>
  <si>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</si>
  <si>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</si>
  <si>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</si>
  <si>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</si>
  <si>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</si>
  <si>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</si>
  <si>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</si>
  <si>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</si>
  <si>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</si>
  <si>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</si>
  <si>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</si>
  <si>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</si>
  <si>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</si>
  <si>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</si>
  <si>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</si>
  <si>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</si>
  <si>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</si>
  <si>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</si>
  <si>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</si>
  <si>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</si>
  <si>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</si>
  <si>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</si>
  <si>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</si>
  <si>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</si>
  <si>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</si>
  <si>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</si>
  <si>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</si>
  <si>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</si>
  <si>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</si>
  <si>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</si>
  <si>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</si>
  <si>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</si>
  <si>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</si>
  <si>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</si>
  <si>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</si>
  <si>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</si>
  <si>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</si>
  <si>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</si>
  <si>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</si>
  <si>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</si>
  <si>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</si>
  <si>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</si>
  <si>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</si>
  <si>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</si>
  <si>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</si>
  <si>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</si>
  <si>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</si>
  <si>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</si>
  <si>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</si>
  <si>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</si>
  <si>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</si>
  <si>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</si>
  <si>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</si>
  <si>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</si>
  <si>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</si>
  <si>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</si>
  <si>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</si>
  <si>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</si>
  <si>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</si>
  <si>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</si>
  <si>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</si>
  <si>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</si>
  <si>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</si>
  <si>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</si>
  <si>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</si>
  <si>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</si>
  <si>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</si>
  <si>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</si>
  <si>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</si>
  <si>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</si>
  <si>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</si>
  <si>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</si>
  <si>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</si>
  <si>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</si>
  <si>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</si>
  <si>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</si>
  <si>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</si>
  <si>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</si>
  <si>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</si>
  <si>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</si>
  <si>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</si>
  <si>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</si>
  <si>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</si>
  <si>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</si>
  <si>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</si>
  <si>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</si>
  <si>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</si>
  <si>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</si>
  <si>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</si>
  <si>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</si>
  <si>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</si>
  <si>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</si>
  <si>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</si>
  <si>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</si>
  <si>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</si>
  <si>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</si>
  <si>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</si>
  <si>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</si>
  <si>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</si>
  <si>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</si>
  <si>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</si>
  <si>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</si>
  <si>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</si>
  <si>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</si>
  <si>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</si>
  <si>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</si>
  <si>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</si>
  <si>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</si>
  <si>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</si>
  <si>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</si>
  <si>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</si>
  <si>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</si>
  <si>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</si>
  <si>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</si>
  <si>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</si>
  <si>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</si>
  <si>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</si>
  <si>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</si>
  <si>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</si>
  <si>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</si>
  <si>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</si>
  <si>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</si>
  <si>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</si>
  <si>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</si>
  <si>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</si>
  <si>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</si>
  <si>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</si>
  <si>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</si>
  <si>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</si>
  <si>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</si>
  <si>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</si>
  <si>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</si>
  <si>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</si>
  <si>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</si>
  <si>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</si>
  <si>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</si>
  <si>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</si>
  <si>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</si>
  <si>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</si>
  <si>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</si>
  <si>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</si>
  <si>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</si>
  <si>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</si>
  <si>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</si>
  <si>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</si>
  <si>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</si>
  <si>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</si>
  <si>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</si>
  <si>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</si>
  <si>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</si>
  <si>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</si>
  <si>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</si>
  <si>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</si>
  <si>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</si>
  <si>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</si>
  <si>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</si>
  <si>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</si>
  <si>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</si>
  <si>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</si>
  <si>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</si>
  <si>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</si>
  <si>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</si>
  <si>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</si>
  <si>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</si>
  <si>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</si>
  <si>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</si>
  <si>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</si>
  <si>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</si>
  <si>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</si>
  <si>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</si>
  <si>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</si>
  <si>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</si>
  <si>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</si>
  <si>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</si>
  <si>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</si>
  <si>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</si>
  <si>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</si>
  <si>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</si>
  <si>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</si>
  <si>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</si>
  <si>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</si>
  <si>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</si>
  <si>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</si>
  <si>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</si>
  <si>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</si>
  <si>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</si>
  <si>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</si>
  <si>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</si>
  <si>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</si>
  <si>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</si>
  <si>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</si>
  <si>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</si>
  <si>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</si>
  <si>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</si>
  <si>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</si>
  <si>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</si>
  <si>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</si>
  <si>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</si>
  <si>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</si>
  <si>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</si>
  <si>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</si>
  <si>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</si>
  <si>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</si>
  <si>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</si>
  <si>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</si>
  <si>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</si>
  <si>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</si>
  <si>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</si>
  <si>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</si>
  <si>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</si>
  <si>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</si>
  <si>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</si>
  <si>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</si>
  <si>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</si>
  <si>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</si>
  <si>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</si>
  <si>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</si>
  <si>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</si>
  <si>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</si>
  <si>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</si>
  <si>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</si>
  <si>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</si>
  <si>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</si>
  <si>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</si>
  <si>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</si>
  <si>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</si>
  <si>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</si>
  <si>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</si>
  <si>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</si>
  <si>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</si>
  <si>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</si>
  <si>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</si>
  <si>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</si>
  <si>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</si>
  <si>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</si>
  <si>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</si>
  <si>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</si>
  <si>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</si>
  <si>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</si>
  <si>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</si>
  <si>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</si>
  <si>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</si>
  <si>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</si>
  <si>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</si>
  <si>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</si>
  <si>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</si>
  <si>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</si>
  <si>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</si>
  <si>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</si>
  <si>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</si>
  <si>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</si>
  <si>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</si>
  <si>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</si>
  <si>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</si>
  <si>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</si>
  <si>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</si>
  <si>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</si>
  <si>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</si>
  <si>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</si>
  <si>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</si>
  <si>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</si>
  <si>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</si>
  <si>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</si>
  <si>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</si>
  <si>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</si>
  <si>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</si>
  <si>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</si>
  <si>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</si>
  <si>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</si>
  <si>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</si>
  <si>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</si>
  <si>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</si>
  <si>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</si>
  <si>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</si>
  <si>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</si>
  <si>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</si>
  <si>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</si>
  <si>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</si>
  <si>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</si>
  <si>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</si>
  <si>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</si>
  <si>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</si>
  <si>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</si>
  <si>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</si>
  <si>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</si>
  <si>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</si>
  <si>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</si>
  <si>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</si>
  <si>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</si>
  <si>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</si>
  <si>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</si>
  <si>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</si>
  <si>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</si>
  <si>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</si>
  <si>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</si>
  <si>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</si>
  <si>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</si>
  <si>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</si>
  <si>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</si>
  <si>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</si>
  <si>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</si>
  <si>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</si>
  <si>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</si>
  <si>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</si>
  <si>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</si>
  <si>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</si>
  <si>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</si>
  <si>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</si>
  <si>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</si>
  <si>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</si>
  <si>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</si>
  <si>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</si>
  <si>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</si>
  <si>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</si>
  <si>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</si>
  <si>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</si>
  <si>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</si>
  <si>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</si>
  <si>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</si>
  <si>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</si>
  <si>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</si>
  <si>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</si>
  <si>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</si>
  <si>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</si>
  <si>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</si>
  <si>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</si>
  <si>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</si>
  <si>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</si>
  <si>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</si>
  <si>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</si>
  <si>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</si>
  <si>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</si>
  <si>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</si>
  <si>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</si>
  <si>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</si>
  <si>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</si>
  <si>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</si>
  <si>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</si>
  <si>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</si>
  <si>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</si>
  <si>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</si>
  <si>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</si>
  <si>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</si>
  <si>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</si>
  <si>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</si>
  <si>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</si>
  <si>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</si>
  <si>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</si>
  <si>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</si>
  <si>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</si>
  <si>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</si>
  <si>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</si>
  <si>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</si>
  <si>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</si>
  <si>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</si>
  <si>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</si>
  <si>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</si>
  <si>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</si>
  <si>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</si>
  <si>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</si>
  <si>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</si>
  <si>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</si>
  <si>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</si>
  <si>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</si>
  <si>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</si>
  <si>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</si>
  <si>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</si>
  <si>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</si>
  <si>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</si>
  <si>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</si>
  <si>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</si>
  <si>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</si>
  <si>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</si>
  <si>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</si>
  <si>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</si>
  <si>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</si>
  <si>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</si>
  <si>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</si>
  <si>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</si>
  <si>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</si>
  <si>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</si>
  <si>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</si>
  <si>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</si>
  <si>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</si>
  <si>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</si>
  <si>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</si>
  <si>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</si>
  <si>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</si>
  <si>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</si>
  <si>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</si>
  <si>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</si>
  <si>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</si>
  <si>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</si>
  <si>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</si>
  <si>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</si>
  <si>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</si>
  <si>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</si>
  <si>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</si>
  <si>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</si>
  <si>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</si>
  <si>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</si>
  <si>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</si>
  <si>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</si>
  <si>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</si>
  <si>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</si>
  <si>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</si>
  <si>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</si>
  <si>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</si>
  <si>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</si>
  <si>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</si>
  <si>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</si>
  <si>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</si>
  <si>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</si>
  <si>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</si>
  <si>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</si>
  <si>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</si>
  <si>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</si>
  <si>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</si>
  <si>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</si>
  <si>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</si>
  <si>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</si>
  <si>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</si>
  <si>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</si>
  <si>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</si>
  <si>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</si>
  <si>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</si>
  <si>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</si>
  <si>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</si>
  <si>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</si>
  <si>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</si>
  <si>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</si>
  <si>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</si>
  <si>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</si>
  <si>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</si>
  <si>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</si>
  <si>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</si>
  <si>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</si>
  <si>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</si>
  <si>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</si>
  <si>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</si>
  <si>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</si>
  <si>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</si>
  <si>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</si>
  <si>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</si>
  <si>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</si>
  <si>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</si>
  <si>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</si>
  <si>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</si>
  <si>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</si>
  <si>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</si>
  <si>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</si>
  <si>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</si>
  <si>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</si>
  <si>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</si>
  <si>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</si>
  <si>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</si>
  <si>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</si>
  <si>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</si>
  <si>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</si>
  <si>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</si>
  <si>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</si>
  <si>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</si>
  <si>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</si>
  <si>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</si>
  <si>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</si>
  <si>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</si>
  <si>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</si>
  <si>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</si>
  <si>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</si>
  <si>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</si>
  <si>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</si>
  <si>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</si>
  <si>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</si>
  <si>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</si>
  <si>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</si>
  <si>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</si>
  <si>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</si>
  <si>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</si>
  <si>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</si>
  <si>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</si>
  <si>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</si>
  <si>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</si>
  <si>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</si>
  <si>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ALVIRNE TRUSTEES</t>
  </si>
  <si>
    <t>08/10</t>
  </si>
  <si>
    <t>06/21</t>
  </si>
  <si>
    <t>HUDSON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</si>
</sst>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" fontId="0" fillId="0" borderId="0" xfId="0" applyNumberForma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267</v>
      </c>
      <c r="C2" s="21">
        <v>267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2681479.69+200</f>
        <v>2681679.69</v>
      </c>
      <c r="G9" s="18">
        <f>262184.01+450</f>
        <v>262634.01</v>
      </c>
      <c r="H9" s="18">
        <f>86195.74+42633.5+43594.46+11291.54+15291.35+46676.32+60300.76</f>
        <v>305983.67000000004</v>
      </c>
      <c r="I9" s="18"/>
      <c r="J9" s="67">
        <f>SUM(I439)</f>
        <v>437570.50999999995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258736.94</v>
      </c>
      <c r="G12" s="18"/>
      <c r="H12" s="18"/>
      <c r="I12" s="18"/>
      <c r="J12" s="67">
        <f>SUM(I441)</f>
        <v>72949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229517.49</v>
      </c>
      <c r="G13" s="18"/>
      <c r="H13" s="18">
        <v>252061.68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22351.69</v>
      </c>
      <c r="G14" s="18">
        <v>31139.95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100665.82</v>
      </c>
      <c r="G17" s="18"/>
      <c r="H17" s="18"/>
      <c r="I17" s="18"/>
      <c r="J17" s="67">
        <f>SUM(I444)</f>
        <v>7600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3292951.63</v>
      </c>
      <c r="G19" s="41">
        <f>SUM(G9:G18)</f>
        <v>293773.96000000002</v>
      </c>
      <c r="H19" s="41">
        <f>SUM(H9:H18)</f>
        <v>558045.35000000009</v>
      </c>
      <c r="I19" s="41">
        <f>SUM(I9:I18)</f>
        <v>0</v>
      </c>
      <c r="J19" s="41">
        <f>SUM(J9:J18)</f>
        <v>518119.50999999995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248031.87</v>
      </c>
      <c r="I22" s="18"/>
      <c r="J22" s="67">
        <f>SUM(I448)</f>
        <v>72949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49714.07</v>
      </c>
      <c r="G23" s="18"/>
      <c r="H23" s="18">
        <v>862.56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123048.41</v>
      </c>
      <c r="G24" s="18"/>
      <c r="H24" s="18">
        <f>8038.51+1367.05</f>
        <v>9405.56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322689.09000000003</v>
      </c>
      <c r="G28" s="18">
        <v>2646.56</v>
      </c>
      <c r="H28" s="18">
        <v>1185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1799677.15+1772.1+1347.13</f>
        <v>1802796.38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26858.75</v>
      </c>
      <c r="H30" s="18">
        <v>3167.25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2298247.9500000002</v>
      </c>
      <c r="G32" s="41">
        <f>SUM(G22:G31)</f>
        <v>29505.31</v>
      </c>
      <c r="H32" s="41">
        <f>SUM(H22:H31)</f>
        <v>262652.24</v>
      </c>
      <c r="I32" s="41">
        <f>SUM(I22:I31)</f>
        <v>0</v>
      </c>
      <c r="J32" s="41">
        <f>SUM(J22:J31)</f>
        <v>72949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100665.82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264268.65000000002</v>
      </c>
      <c r="H48" s="18">
        <f>76972.23+42633.5+40398.71+9924.49+15291.35+45209.03+60300.76-12547.7</f>
        <v>278182.37</v>
      </c>
      <c r="I48" s="18"/>
      <c r="J48" s="13">
        <f>SUM(I459)</f>
        <v>437570.50999999995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332175.82</v>
      </c>
      <c r="G49" s="18"/>
      <c r="H49" s="18">
        <f>12547.7+3195.75+1467.29</f>
        <v>17210.740000000002</v>
      </c>
      <c r="I49" s="18"/>
      <c r="J49" s="13">
        <f>I454</f>
        <v>7600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561862.04-200000</f>
        <v>361862.04000000004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994703.68</v>
      </c>
      <c r="G51" s="41">
        <f>SUM(G35:G50)</f>
        <v>264268.65000000002</v>
      </c>
      <c r="H51" s="41">
        <f>SUM(H35:H50)</f>
        <v>295393.11</v>
      </c>
      <c r="I51" s="41">
        <f>SUM(I35:I50)</f>
        <v>0</v>
      </c>
      <c r="J51" s="41">
        <f>SUM(J35:J50)</f>
        <v>445170.50999999995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3292951.6300000004</v>
      </c>
      <c r="G52" s="41">
        <f>G51+G32</f>
        <v>293773.96000000002</v>
      </c>
      <c r="H52" s="41">
        <f>H51+H32</f>
        <v>558045.35</v>
      </c>
      <c r="I52" s="41">
        <f>I51+I32</f>
        <v>0</v>
      </c>
      <c r="J52" s="41">
        <f>J51+J32</f>
        <v>518119.50999999995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27672029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27672029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f>84570+27453.2</f>
        <v>112023.2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23996.9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f>115114.95-27453.2-23996.9</f>
        <v>63664.85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199684.95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8368.51</v>
      </c>
      <c r="G96" s="18">
        <v>607.25</v>
      </c>
      <c r="H96" s="18">
        <f>170.86+68.1+89.3+11.73+33.65+111.52+136.17</f>
        <v>621.32999999999993</v>
      </c>
      <c r="I96" s="18"/>
      <c r="J96" s="18">
        <v>6219.07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780315.08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13049.74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22538</v>
      </c>
      <c r="G101" s="18"/>
      <c r="H101" s="18">
        <v>9000</v>
      </c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60681.34</v>
      </c>
      <c r="G102" s="18">
        <v>23405.07</v>
      </c>
      <c r="H102" s="18"/>
      <c r="I102" s="18"/>
      <c r="J102" s="18">
        <v>370162.14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>
        <f>41077.73+51902.7+14634.34+35692.26+25363+5790+19340+18837.41</f>
        <v>212637.44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577431.68999999994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29190.99+34143.61</f>
        <v>63334.600000000006</v>
      </c>
      <c r="G110" s="18"/>
      <c r="H110" s="18"/>
      <c r="I110" s="18"/>
      <c r="J110" s="18">
        <v>5428.98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745403.87999999989</v>
      </c>
      <c r="G111" s="41">
        <f>SUM(G96:G110)</f>
        <v>804327.39999999991</v>
      </c>
      <c r="H111" s="41">
        <f>SUM(H96:H110)</f>
        <v>222258.77</v>
      </c>
      <c r="I111" s="41">
        <f>SUM(I96:I110)</f>
        <v>0</v>
      </c>
      <c r="J111" s="41">
        <f>SUM(J96:J110)</f>
        <v>381810.19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28617117.829999998</v>
      </c>
      <c r="G112" s="41">
        <f>G60+G111</f>
        <v>804327.39999999991</v>
      </c>
      <c r="H112" s="41">
        <f>H60+H79+H94+H111</f>
        <v>222258.77</v>
      </c>
      <c r="I112" s="41">
        <f>I60+I111</f>
        <v>0</v>
      </c>
      <c r="J112" s="41">
        <f>J60+J111</f>
        <v>381810.19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9045779.6300000008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6067148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15112927.630000001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384230.82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324623.03999999998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f>33276.52-1902</f>
        <v>31374.519999999997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1902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18457.830000000002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742130.38</v>
      </c>
      <c r="G136" s="41">
        <f>SUM(G123:G135)</f>
        <v>18457.830000000002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15855058.010000002</v>
      </c>
      <c r="G140" s="41">
        <f>G121+SUM(G136:G137)</f>
        <v>18457.830000000002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492390.89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103763.69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75914.38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46240.56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90225.24+58833.16+203979.42</f>
        <v>353037.82000000007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805571.75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410776.53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22002.61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410776.53</v>
      </c>
      <c r="G162" s="41">
        <f>SUM(G150:G161)</f>
        <v>353037.82000000007</v>
      </c>
      <c r="H162" s="41">
        <f>SUM(H150:H161)</f>
        <v>1545883.8800000001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410776.53</v>
      </c>
      <c r="G169" s="41">
        <f>G147+G162+SUM(G163:G168)</f>
        <v>353037.82000000007</v>
      </c>
      <c r="H169" s="41">
        <f>H147+H162+SUM(H163:H168)</f>
        <v>1545883.8800000001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35062.81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35062.81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299750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299750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334812.81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45217765.180000007</v>
      </c>
      <c r="G193" s="47">
        <f>G112+G140+G169+G192</f>
        <v>1175823.0499999998</v>
      </c>
      <c r="H193" s="47">
        <f>H112+H140+H169+H192</f>
        <v>1768142.6500000001</v>
      </c>
      <c r="I193" s="47">
        <f>I112+I140+I169+I192</f>
        <v>0</v>
      </c>
      <c r="J193" s="47">
        <f>J112+J140+J192</f>
        <v>431810.19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4425156.3</v>
      </c>
      <c r="G197" s="18">
        <v>2276794.0699999998</v>
      </c>
      <c r="H197" s="18">
        <v>94767.039999999994</v>
      </c>
      <c r="I197" s="18">
        <f>232131.94+3533.72+976.96</f>
        <v>236642.62</v>
      </c>
      <c r="J197" s="18">
        <f>114295.05+15569</f>
        <v>129864.05</v>
      </c>
      <c r="K197" s="18">
        <v>129</v>
      </c>
      <c r="L197" s="19">
        <f>SUM(F197:K197)</f>
        <v>7163353.0799999991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1833314.67</v>
      </c>
      <c r="G198" s="18">
        <v>652220.23</v>
      </c>
      <c r="H198" s="18">
        <v>858569.18</v>
      </c>
      <c r="I198" s="18">
        <v>20800.580000000002</v>
      </c>
      <c r="J198" s="18">
        <v>29061.18</v>
      </c>
      <c r="K198" s="18">
        <v>32.950000000000003</v>
      </c>
      <c r="L198" s="19">
        <f>SUM(F198:K198)</f>
        <v>3393998.7900000005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6400</v>
      </c>
      <c r="G200" s="18">
        <v>1657.57</v>
      </c>
      <c r="H200" s="18"/>
      <c r="I200" s="18"/>
      <c r="J200" s="18"/>
      <c r="K200" s="18"/>
      <c r="L200" s="19">
        <f>SUM(F200:K200)</f>
        <v>8057.57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998000.02</v>
      </c>
      <c r="G202" s="18">
        <v>410802.24</v>
      </c>
      <c r="H202" s="18">
        <f>208842.24-48834.3</f>
        <v>160007.94</v>
      </c>
      <c r="I202" s="18">
        <v>38758.050000000003</v>
      </c>
      <c r="J202" s="18">
        <v>5423.84</v>
      </c>
      <c r="K202" s="18"/>
      <c r="L202" s="19">
        <f t="shared" ref="L202:L208" si="0">SUM(F202:K202)</f>
        <v>1612992.09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178273.62</v>
      </c>
      <c r="G203" s="18">
        <v>106960.05</v>
      </c>
      <c r="H203" s="18">
        <f>75402.91+1001.53</f>
        <v>76404.44</v>
      </c>
      <c r="I203" s="18">
        <f>58879.19+151.27</f>
        <v>59030.46</v>
      </c>
      <c r="J203" s="18">
        <f>87960.43+1625.91+21468</f>
        <v>111054.34</v>
      </c>
      <c r="K203" s="18"/>
      <c r="L203" s="19">
        <f t="shared" si="0"/>
        <v>531722.91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198686.66</v>
      </c>
      <c r="G204" s="18">
        <v>88006.48</v>
      </c>
      <c r="H204" s="18">
        <v>34233.81</v>
      </c>
      <c r="I204" s="18">
        <v>4403.34</v>
      </c>
      <c r="J204" s="18">
        <f>2948.33+544.28</f>
        <v>3492.6099999999997</v>
      </c>
      <c r="K204" s="18">
        <v>9375.02</v>
      </c>
      <c r="L204" s="19">
        <f t="shared" si="0"/>
        <v>338197.92000000004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757718.99</v>
      </c>
      <c r="G205" s="18">
        <v>329668.78999999998</v>
      </c>
      <c r="H205" s="18">
        <v>46664.06</v>
      </c>
      <c r="I205" s="18">
        <f>23658.78+90.2</f>
        <v>23748.98</v>
      </c>
      <c r="J205" s="18">
        <v>720.43</v>
      </c>
      <c r="K205" s="18">
        <v>5689</v>
      </c>
      <c r="L205" s="19">
        <f t="shared" si="0"/>
        <v>1164210.25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178265.79</v>
      </c>
      <c r="G206" s="18">
        <v>93168.72</v>
      </c>
      <c r="H206" s="18">
        <v>45092.54</v>
      </c>
      <c r="I206" s="18">
        <v>4928</v>
      </c>
      <c r="J206" s="18">
        <f>1153.88+1100.22</f>
        <v>2254.1000000000004</v>
      </c>
      <c r="K206" s="18"/>
      <c r="L206" s="19">
        <f t="shared" si="0"/>
        <v>323709.14999999997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689524.53</v>
      </c>
      <c r="G207" s="18">
        <v>361000.71</v>
      </c>
      <c r="H207" s="18">
        <f>509745.38+10476.8+13926.98</f>
        <v>534149.16</v>
      </c>
      <c r="I207" s="18">
        <v>425789.15</v>
      </c>
      <c r="J207" s="18">
        <v>13395.2</v>
      </c>
      <c r="K207" s="18"/>
      <c r="L207" s="19">
        <f t="shared" si="0"/>
        <v>2023858.7499999998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490050.29+286642.92+48834.3</f>
        <v>825527.51</v>
      </c>
      <c r="I208" s="18"/>
      <c r="J208" s="18"/>
      <c r="K208" s="18"/>
      <c r="L208" s="19">
        <f t="shared" si="0"/>
        <v>825527.51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9265340.5799999982</v>
      </c>
      <c r="G211" s="41">
        <f t="shared" si="1"/>
        <v>4320278.8599999994</v>
      </c>
      <c r="H211" s="41">
        <f t="shared" si="1"/>
        <v>2675415.6800000006</v>
      </c>
      <c r="I211" s="41">
        <f t="shared" si="1"/>
        <v>814101.18</v>
      </c>
      <c r="J211" s="41">
        <f t="shared" si="1"/>
        <v>295265.75</v>
      </c>
      <c r="K211" s="41">
        <f t="shared" si="1"/>
        <v>15225.970000000001</v>
      </c>
      <c r="L211" s="41">
        <f t="shared" si="1"/>
        <v>17385628.02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2902580.43</v>
      </c>
      <c r="G215" s="18">
        <v>1344505.3</v>
      </c>
      <c r="H215" s="18">
        <v>50553.82</v>
      </c>
      <c r="I215" s="18">
        <v>124248.25</v>
      </c>
      <c r="J215" s="18">
        <f>136825.98+6160</f>
        <v>142985.98000000001</v>
      </c>
      <c r="K215" s="18">
        <v>836</v>
      </c>
      <c r="L215" s="19">
        <f>SUM(F215:K215)</f>
        <v>4565709.7800000012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998529.28</v>
      </c>
      <c r="G216" s="18">
        <v>397249.26</v>
      </c>
      <c r="H216" s="18">
        <v>409655.25</v>
      </c>
      <c r="I216" s="18">
        <v>3347.6</v>
      </c>
      <c r="J216" s="18">
        <v>11263.14</v>
      </c>
      <c r="K216" s="18"/>
      <c r="L216" s="19">
        <f>SUM(F216:K216)</f>
        <v>1820044.53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61766.400000000001</v>
      </c>
      <c r="G218" s="18">
        <v>13284.83</v>
      </c>
      <c r="H218" s="18">
        <f>12950.98-7513.98</f>
        <v>5437</v>
      </c>
      <c r="I218" s="18">
        <v>6189.23</v>
      </c>
      <c r="J218" s="18"/>
      <c r="K218" s="18">
        <v>862.5</v>
      </c>
      <c r="L218" s="19">
        <f>SUM(F218:K218)</f>
        <v>87539.959999999992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621540.35</v>
      </c>
      <c r="G220" s="18">
        <v>319848.15000000002</v>
      </c>
      <c r="H220" s="18">
        <v>123790.74</v>
      </c>
      <c r="I220" s="18">
        <v>8944.14</v>
      </c>
      <c r="J220" s="18">
        <v>446.51</v>
      </c>
      <c r="K220" s="18">
        <v>120</v>
      </c>
      <c r="L220" s="19">
        <f t="shared" ref="L220:L226" si="2">SUM(F220:K220)</f>
        <v>1074689.8899999999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86395.01</v>
      </c>
      <c r="G221" s="18">
        <v>61982.02</v>
      </c>
      <c r="H221" s="18">
        <f>41092.08+637.34</f>
        <v>41729.42</v>
      </c>
      <c r="I221" s="18">
        <f>38430.52+96.26</f>
        <v>38526.78</v>
      </c>
      <c r="J221" s="18">
        <f>29547.58+1034.67+5016</f>
        <v>35598.25</v>
      </c>
      <c r="K221" s="18">
        <v>717</v>
      </c>
      <c r="L221" s="19">
        <f t="shared" si="2"/>
        <v>264948.47999999998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110145.71</v>
      </c>
      <c r="G222" s="18">
        <v>48945.78</v>
      </c>
      <c r="H222" s="18">
        <v>20129.63</v>
      </c>
      <c r="I222" s="18">
        <v>2441.2199999999998</v>
      </c>
      <c r="J222" s="18">
        <f>1735.73+259.77</f>
        <v>1995.5</v>
      </c>
      <c r="K222" s="18">
        <v>5491.45</v>
      </c>
      <c r="L222" s="19">
        <f t="shared" si="2"/>
        <v>189149.29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376500.38</v>
      </c>
      <c r="G223" s="18">
        <v>197810.01</v>
      </c>
      <c r="H223" s="18">
        <v>15914.46</v>
      </c>
      <c r="I223" s="18">
        <v>26637.7</v>
      </c>
      <c r="J223" s="18"/>
      <c r="K223" s="18">
        <v>1060</v>
      </c>
      <c r="L223" s="19">
        <f t="shared" si="2"/>
        <v>617922.54999999993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105647.98</v>
      </c>
      <c r="G224" s="18">
        <v>55215.79</v>
      </c>
      <c r="H224" s="18">
        <v>26723.78</v>
      </c>
      <c r="I224" s="18">
        <v>2920.55</v>
      </c>
      <c r="J224" s="18">
        <f>683.84+700.14</f>
        <v>1383.98</v>
      </c>
      <c r="K224" s="18"/>
      <c r="L224" s="19">
        <f t="shared" si="2"/>
        <v>191892.08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379943.85</v>
      </c>
      <c r="G225" s="18">
        <v>219642.31</v>
      </c>
      <c r="H225" s="18">
        <f>240172.63+6548+4281.76</f>
        <v>251002.39</v>
      </c>
      <c r="I225" s="18">
        <v>225471.79</v>
      </c>
      <c r="J225" s="18">
        <v>8418.9</v>
      </c>
      <c r="K225" s="18"/>
      <c r="L225" s="19">
        <f t="shared" si="2"/>
        <v>1084479.2399999998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288640.3+136437.02+7513.98</f>
        <v>432591.29999999993</v>
      </c>
      <c r="I226" s="18"/>
      <c r="J226" s="18"/>
      <c r="K226" s="18"/>
      <c r="L226" s="19">
        <f t="shared" si="2"/>
        <v>432591.29999999993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5643049.3899999997</v>
      </c>
      <c r="G229" s="41">
        <f>SUM(G215:G228)</f>
        <v>2658483.4499999997</v>
      </c>
      <c r="H229" s="41">
        <f>SUM(H215:H228)</f>
        <v>1377527.79</v>
      </c>
      <c r="I229" s="41">
        <f>SUM(I215:I228)</f>
        <v>438727.26</v>
      </c>
      <c r="J229" s="41">
        <f>SUM(J215:J228)</f>
        <v>202092.26</v>
      </c>
      <c r="K229" s="41">
        <f t="shared" si="3"/>
        <v>9086.9500000000007</v>
      </c>
      <c r="L229" s="41">
        <f t="shared" si="3"/>
        <v>10328967.100000001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3806518.87</v>
      </c>
      <c r="G233" s="18">
        <v>1904406.2</v>
      </c>
      <c r="H233" s="18">
        <f>109148.37-6282.12</f>
        <v>102866.25</v>
      </c>
      <c r="I233" s="18">
        <v>133957.22</v>
      </c>
      <c r="J233" s="18">
        <f>76283.36+7671.73</f>
        <v>83955.09</v>
      </c>
      <c r="K233" s="18">
        <f>2945.5-0.01</f>
        <v>2945.49</v>
      </c>
      <c r="L233" s="19">
        <f>SUM(F233:K233)</f>
        <v>6034649.1200000001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1149241.77</v>
      </c>
      <c r="G234" s="18">
        <v>453810.05</v>
      </c>
      <c r="H234" s="18">
        <v>673598.89</v>
      </c>
      <c r="I234" s="18">
        <v>7287.42</v>
      </c>
      <c r="J234" s="18">
        <v>6159.27</v>
      </c>
      <c r="K234" s="18"/>
      <c r="L234" s="19">
        <f>SUM(F234:K234)</f>
        <v>2290097.4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887502.25</v>
      </c>
      <c r="G235" s="18">
        <v>462130.45</v>
      </c>
      <c r="H235" s="18">
        <f>64028.25+3664.8+9638.78-10464.07</f>
        <v>66867.760000000009</v>
      </c>
      <c r="I235" s="18">
        <f>117598.57+2243.22</f>
        <v>119841.79000000001</v>
      </c>
      <c r="J235" s="18">
        <v>11433.58</v>
      </c>
      <c r="K235" s="18">
        <v>1975</v>
      </c>
      <c r="L235" s="19">
        <f>SUM(F235:K235)</f>
        <v>1549750.83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255091.01</v>
      </c>
      <c r="G236" s="18">
        <v>39525.75</v>
      </c>
      <c r="H236" s="18">
        <f>163906.75-68440.28</f>
        <v>95466.47</v>
      </c>
      <c r="I236" s="18">
        <v>52285.19</v>
      </c>
      <c r="J236" s="18">
        <v>8499.49</v>
      </c>
      <c r="K236" s="18">
        <v>15451</v>
      </c>
      <c r="L236" s="19">
        <f>SUM(F236:K236)</f>
        <v>466318.91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760433.65</v>
      </c>
      <c r="G238" s="18">
        <v>397951.65</v>
      </c>
      <c r="H238" s="18">
        <v>184804.81</v>
      </c>
      <c r="I238" s="18">
        <v>18515.009999999998</v>
      </c>
      <c r="J238" s="18">
        <f>1324.94-0.01</f>
        <v>1324.93</v>
      </c>
      <c r="K238" s="18">
        <v>988</v>
      </c>
      <c r="L238" s="19">
        <f t="shared" ref="L238:L244" si="4">SUM(F238:K238)</f>
        <v>1364018.05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172464.37</v>
      </c>
      <c r="G239" s="18">
        <v>134275.24</v>
      </c>
      <c r="H239" s="18">
        <f>97285.35+1396.07+532</f>
        <v>99213.420000000013</v>
      </c>
      <c r="I239" s="18">
        <f>35093.94+210.85+1361.46</f>
        <v>36666.25</v>
      </c>
      <c r="J239" s="18">
        <f>57650.83+2266.42+5028</f>
        <v>64945.25</v>
      </c>
      <c r="K239" s="18">
        <v>135</v>
      </c>
      <c r="L239" s="19">
        <f t="shared" si="4"/>
        <v>507699.53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168357.5</v>
      </c>
      <c r="G240" s="18">
        <v>74704.63</v>
      </c>
      <c r="H240" s="18">
        <v>29973.08</v>
      </c>
      <c r="I240" s="18">
        <v>3731.3</v>
      </c>
      <c r="J240" s="18">
        <f>2583.14+432.95</f>
        <v>3016.0899999999997</v>
      </c>
      <c r="K240" s="18">
        <v>8190.52</v>
      </c>
      <c r="L240" s="19">
        <f t="shared" si="4"/>
        <v>287973.12000000005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573637.85</v>
      </c>
      <c r="G241" s="18">
        <v>279790.78999999998</v>
      </c>
      <c r="H241" s="18">
        <v>42951.66</v>
      </c>
      <c r="I241" s="18">
        <v>29501.52</v>
      </c>
      <c r="J241" s="18">
        <v>3445.17</v>
      </c>
      <c r="K241" s="18">
        <v>4330</v>
      </c>
      <c r="L241" s="19">
        <f t="shared" si="4"/>
        <v>933656.99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156771.89000000001</v>
      </c>
      <c r="G242" s="18">
        <v>81935.16</v>
      </c>
      <c r="H242" s="18">
        <v>39655.629999999997</v>
      </c>
      <c r="I242" s="18">
        <v>4333.82</v>
      </c>
      <c r="J242" s="18">
        <f>1014.75+1533.64</f>
        <v>2548.3900000000003</v>
      </c>
      <c r="K242" s="18"/>
      <c r="L242" s="19">
        <f t="shared" si="4"/>
        <v>285244.89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506728.16</v>
      </c>
      <c r="G243" s="18">
        <v>251505.85</v>
      </c>
      <c r="H243" s="18">
        <f>520320.47+8428.51+9167.2+20779.18-0.01</f>
        <v>558695.35</v>
      </c>
      <c r="I243" s="18">
        <v>389728.6</v>
      </c>
      <c r="J243" s="18">
        <f>11930.73</f>
        <v>11930.73</v>
      </c>
      <c r="K243" s="18"/>
      <c r="L243" s="19">
        <f t="shared" si="4"/>
        <v>1718588.69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431449.86+224057.13+68440.28+6282.12+10464.07</f>
        <v>740693.46</v>
      </c>
      <c r="I244" s="18"/>
      <c r="J244" s="18"/>
      <c r="K244" s="18"/>
      <c r="L244" s="19">
        <f t="shared" si="4"/>
        <v>740693.46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8436747.3200000003</v>
      </c>
      <c r="G247" s="41">
        <f t="shared" si="5"/>
        <v>4080035.77</v>
      </c>
      <c r="H247" s="41">
        <f t="shared" si="5"/>
        <v>2634786.7799999998</v>
      </c>
      <c r="I247" s="41">
        <f t="shared" si="5"/>
        <v>795848.12</v>
      </c>
      <c r="J247" s="41">
        <f t="shared" si="5"/>
        <v>197257.99000000002</v>
      </c>
      <c r="K247" s="41">
        <f t="shared" si="5"/>
        <v>34015.009999999995</v>
      </c>
      <c r="L247" s="41">
        <f t="shared" si="5"/>
        <v>16178690.989999998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299750</v>
      </c>
      <c r="I255" s="18"/>
      <c r="J255" s="18"/>
      <c r="K255" s="18"/>
      <c r="L255" s="19">
        <f t="shared" si="6"/>
        <v>299750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299750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299750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23345137.289999999</v>
      </c>
      <c r="G257" s="41">
        <f t="shared" si="8"/>
        <v>11058798.079999998</v>
      </c>
      <c r="H257" s="41">
        <f t="shared" si="8"/>
        <v>6987480.25</v>
      </c>
      <c r="I257" s="41">
        <f t="shared" si="8"/>
        <v>2048676.56</v>
      </c>
      <c r="J257" s="41">
        <f t="shared" si="8"/>
        <v>694616</v>
      </c>
      <c r="K257" s="41">
        <f t="shared" si="8"/>
        <v>58327.929999999993</v>
      </c>
      <c r="L257" s="41">
        <f t="shared" si="8"/>
        <v>44193036.109999999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1092830.31</v>
      </c>
      <c r="L260" s="19">
        <f>SUM(F260:K260)</f>
        <v>1092830.31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199205.13</v>
      </c>
      <c r="L261" s="19">
        <f>SUM(F261:K261)</f>
        <v>199205.13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1342035.44</v>
      </c>
      <c r="L270" s="41">
        <f t="shared" si="9"/>
        <v>1342035.44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23345137.289999999</v>
      </c>
      <c r="G271" s="42">
        <f t="shared" si="11"/>
        <v>11058798.079999998</v>
      </c>
      <c r="H271" s="42">
        <f t="shared" si="11"/>
        <v>6987480.25</v>
      </c>
      <c r="I271" s="42">
        <f t="shared" si="11"/>
        <v>2048676.56</v>
      </c>
      <c r="J271" s="42">
        <f t="shared" si="11"/>
        <v>694616</v>
      </c>
      <c r="K271" s="42">
        <f t="shared" si="11"/>
        <v>1400363.3699999999</v>
      </c>
      <c r="L271" s="42">
        <f t="shared" si="11"/>
        <v>45535071.549999997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337053.48</v>
      </c>
      <c r="G276" s="18">
        <v>25733.99</v>
      </c>
      <c r="H276" s="18">
        <v>4321.6000000000004</v>
      </c>
      <c r="I276" s="18">
        <v>9831.77</v>
      </c>
      <c r="J276" s="18">
        <v>27176.02</v>
      </c>
      <c r="K276" s="18">
        <v>9595.85</v>
      </c>
      <c r="L276" s="19">
        <f>SUM(F276:K276)</f>
        <v>413712.70999999996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361070.78</v>
      </c>
      <c r="G277" s="18">
        <v>130160.4</v>
      </c>
      <c r="H277" s="18">
        <v>31846.69</v>
      </c>
      <c r="I277" s="18">
        <v>13578.33</v>
      </c>
      <c r="J277" s="18">
        <v>1957.2</v>
      </c>
      <c r="K277" s="18">
        <v>14093.82</v>
      </c>
      <c r="L277" s="19">
        <f>SUM(F277:K277)</f>
        <v>552707.22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371.85</v>
      </c>
      <c r="G281" s="18">
        <v>28.45</v>
      </c>
      <c r="H281" s="18">
        <v>1339.3</v>
      </c>
      <c r="I281" s="18">
        <v>277.89</v>
      </c>
      <c r="J281" s="18">
        <v>1412.36</v>
      </c>
      <c r="K281" s="18">
        <v>418.59</v>
      </c>
      <c r="L281" s="19">
        <f t="shared" ref="L281:L287" si="12">SUM(F281:K281)</f>
        <v>3848.4399999999996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24328</v>
      </c>
      <c r="G282" s="18">
        <v>1914.34</v>
      </c>
      <c r="H282" s="18">
        <v>3006</v>
      </c>
      <c r="I282" s="18">
        <v>164</v>
      </c>
      <c r="J282" s="18"/>
      <c r="K282" s="18">
        <v>1497.28</v>
      </c>
      <c r="L282" s="19">
        <f t="shared" si="12"/>
        <v>30909.62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722824.11</v>
      </c>
      <c r="G290" s="42">
        <f t="shared" si="13"/>
        <v>157837.18</v>
      </c>
      <c r="H290" s="42">
        <f t="shared" si="13"/>
        <v>40513.590000000004</v>
      </c>
      <c r="I290" s="42">
        <f t="shared" si="13"/>
        <v>23851.989999999998</v>
      </c>
      <c r="J290" s="42">
        <f t="shared" si="13"/>
        <v>30545.58</v>
      </c>
      <c r="K290" s="42">
        <f t="shared" si="13"/>
        <v>25605.539999999997</v>
      </c>
      <c r="L290" s="41">
        <f t="shared" si="13"/>
        <v>1001177.9899999999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3943.31</v>
      </c>
      <c r="G295" s="18">
        <v>301.64</v>
      </c>
      <c r="H295" s="18">
        <v>612.96</v>
      </c>
      <c r="I295" s="18">
        <v>632.03</v>
      </c>
      <c r="J295" s="18"/>
      <c r="K295" s="18">
        <v>15.92</v>
      </c>
      <c r="L295" s="19">
        <f>SUM(F295:K295)</f>
        <v>5505.86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14238.93</v>
      </c>
      <c r="G296" s="18">
        <v>7784.18</v>
      </c>
      <c r="H296" s="18">
        <v>14001.6</v>
      </c>
      <c r="I296" s="18">
        <v>209.79</v>
      </c>
      <c r="J296" s="18"/>
      <c r="K296" s="18">
        <v>447.14</v>
      </c>
      <c r="L296" s="19">
        <f>SUM(F296:K296)</f>
        <v>36681.64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223.11</v>
      </c>
      <c r="G300" s="18">
        <v>17.07</v>
      </c>
      <c r="H300" s="18">
        <v>803.58</v>
      </c>
      <c r="I300" s="18">
        <v>166.74</v>
      </c>
      <c r="J300" s="18">
        <v>847.41</v>
      </c>
      <c r="K300" s="18">
        <v>190.96</v>
      </c>
      <c r="L300" s="19">
        <f t="shared" ref="L300:L306" si="14">SUM(F300:K300)</f>
        <v>2248.87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14596.8</v>
      </c>
      <c r="G301" s="18">
        <v>1148.5999999999999</v>
      </c>
      <c r="H301" s="18">
        <v>1803.6</v>
      </c>
      <c r="I301" s="18">
        <v>98.4</v>
      </c>
      <c r="J301" s="18"/>
      <c r="K301" s="18">
        <v>8.49</v>
      </c>
      <c r="L301" s="19">
        <f t="shared" si="14"/>
        <v>17655.890000000003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33002.15</v>
      </c>
      <c r="G309" s="42">
        <f t="shared" si="15"/>
        <v>9251.49</v>
      </c>
      <c r="H309" s="42">
        <f t="shared" si="15"/>
        <v>17221.740000000002</v>
      </c>
      <c r="I309" s="42">
        <f t="shared" si="15"/>
        <v>1106.96</v>
      </c>
      <c r="J309" s="42">
        <f t="shared" si="15"/>
        <v>847.41</v>
      </c>
      <c r="K309" s="42">
        <f t="shared" si="15"/>
        <v>662.51</v>
      </c>
      <c r="L309" s="41">
        <f t="shared" si="15"/>
        <v>62092.260000000009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75205.53</v>
      </c>
      <c r="G314" s="18">
        <v>17556.39</v>
      </c>
      <c r="H314" s="18">
        <v>919.44</v>
      </c>
      <c r="I314" s="18">
        <v>948.04</v>
      </c>
      <c r="J314" s="18"/>
      <c r="K314" s="18">
        <v>2236.04</v>
      </c>
      <c r="L314" s="19">
        <f>SUM(F314:K314)</f>
        <v>96865.439999999988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158873.07999999999</v>
      </c>
      <c r="G315" s="18">
        <v>47280.42</v>
      </c>
      <c r="H315" s="18">
        <v>23336.01</v>
      </c>
      <c r="I315" s="18">
        <v>349.65</v>
      </c>
      <c r="J315" s="18"/>
      <c r="K315" s="18">
        <v>3897.31</v>
      </c>
      <c r="L315" s="19">
        <f>SUM(F315:K315)</f>
        <v>233736.47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f>13818.5+16931</f>
        <v>30749.5</v>
      </c>
      <c r="G316" s="18">
        <f>1321.77+1774.33</f>
        <v>3096.1</v>
      </c>
      <c r="H316" s="18">
        <f>10416.63+12602.89</f>
        <v>23019.519999999997</v>
      </c>
      <c r="I316" s="18">
        <f>92130.53+10756.31</f>
        <v>102886.84</v>
      </c>
      <c r="J316" s="18">
        <f>105064.32+15705.81</f>
        <v>120770.13</v>
      </c>
      <c r="K316" s="18">
        <f>2800+2076.98</f>
        <v>4876.9799999999996</v>
      </c>
      <c r="L316" s="19">
        <f>SUM(F316:K316)</f>
        <v>285399.06999999995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334.66</v>
      </c>
      <c r="G319" s="18">
        <v>25.6</v>
      </c>
      <c r="H319" s="18">
        <v>1205.3699999999999</v>
      </c>
      <c r="I319" s="18">
        <v>250.1</v>
      </c>
      <c r="J319" s="18">
        <v>1271.1199999999999</v>
      </c>
      <c r="K319" s="18">
        <v>286.23</v>
      </c>
      <c r="L319" s="19">
        <f t="shared" ref="L319:L325" si="16">SUM(F319:K319)</f>
        <v>3373.0799999999995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21895.200000000001</v>
      </c>
      <c r="G320" s="18">
        <v>1722.9</v>
      </c>
      <c r="H320" s="18">
        <v>13239.88</v>
      </c>
      <c r="I320" s="18">
        <v>147.6</v>
      </c>
      <c r="J320" s="18"/>
      <c r="K320" s="18">
        <v>4568.21</v>
      </c>
      <c r="L320" s="19">
        <f t="shared" si="16"/>
        <v>41573.79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287057.96999999997</v>
      </c>
      <c r="G328" s="42">
        <f t="shared" si="17"/>
        <v>69681.41</v>
      </c>
      <c r="H328" s="42">
        <f t="shared" si="17"/>
        <v>61720.219999999994</v>
      </c>
      <c r="I328" s="42">
        <f t="shared" si="17"/>
        <v>104582.23000000001</v>
      </c>
      <c r="J328" s="42">
        <f t="shared" si="17"/>
        <v>122041.25</v>
      </c>
      <c r="K328" s="42">
        <f t="shared" si="17"/>
        <v>15864.77</v>
      </c>
      <c r="L328" s="41">
        <f t="shared" si="17"/>
        <v>660947.85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8925</v>
      </c>
      <c r="G333" s="18">
        <v>1664.33</v>
      </c>
      <c r="H333" s="18">
        <f>4576.76+35605</f>
        <v>40181.760000000002</v>
      </c>
      <c r="I333" s="18"/>
      <c r="J333" s="18">
        <v>2417.46</v>
      </c>
      <c r="K333" s="18">
        <f>1023.19+0.01</f>
        <v>1023.2</v>
      </c>
      <c r="L333" s="19">
        <f t="shared" si="18"/>
        <v>54211.75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8925</v>
      </c>
      <c r="G337" s="41">
        <f t="shared" si="19"/>
        <v>1664.33</v>
      </c>
      <c r="H337" s="41">
        <f t="shared" si="19"/>
        <v>40181.760000000002</v>
      </c>
      <c r="I337" s="41">
        <f t="shared" si="19"/>
        <v>0</v>
      </c>
      <c r="J337" s="41">
        <f t="shared" si="19"/>
        <v>2417.46</v>
      </c>
      <c r="K337" s="41">
        <f t="shared" si="19"/>
        <v>1023.2</v>
      </c>
      <c r="L337" s="41">
        <f t="shared" si="18"/>
        <v>54211.75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1051809.23</v>
      </c>
      <c r="G338" s="41">
        <f t="shared" si="20"/>
        <v>238434.40999999997</v>
      </c>
      <c r="H338" s="41">
        <f t="shared" si="20"/>
        <v>159637.31</v>
      </c>
      <c r="I338" s="41">
        <f t="shared" si="20"/>
        <v>129541.18000000001</v>
      </c>
      <c r="J338" s="41">
        <f t="shared" si="20"/>
        <v>155851.69999999998</v>
      </c>
      <c r="K338" s="41">
        <f t="shared" si="20"/>
        <v>43156.01999999999</v>
      </c>
      <c r="L338" s="41">
        <f t="shared" si="20"/>
        <v>1778429.85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1051809.23</v>
      </c>
      <c r="G352" s="41">
        <f>G338</f>
        <v>238434.40999999997</v>
      </c>
      <c r="H352" s="41">
        <f>H338</f>
        <v>159637.31</v>
      </c>
      <c r="I352" s="41">
        <f>I338</f>
        <v>129541.18000000001</v>
      </c>
      <c r="J352" s="41">
        <f>J338</f>
        <v>155851.69999999998</v>
      </c>
      <c r="K352" s="47">
        <f>K338+K351</f>
        <v>43156.01999999999</v>
      </c>
      <c r="L352" s="41">
        <f>L338+L351</f>
        <v>1778429.85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200740.86</v>
      </c>
      <c r="G358" s="18">
        <v>98941.31</v>
      </c>
      <c r="H358" s="18">
        <v>7553.29</v>
      </c>
      <c r="I358" s="18">
        <f>18658.89+142642.31</f>
        <v>161301.20000000001</v>
      </c>
      <c r="J358" s="18">
        <v>11797.58</v>
      </c>
      <c r="K358" s="18">
        <v>2238.48</v>
      </c>
      <c r="L358" s="13">
        <f>SUM(F358:K358)</f>
        <v>482572.72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106925.47</v>
      </c>
      <c r="G359" s="18">
        <v>66613.25</v>
      </c>
      <c r="H359" s="18">
        <v>2978.73</v>
      </c>
      <c r="I359" s="18">
        <f>15440.63+116598.18</f>
        <v>132038.81</v>
      </c>
      <c r="J359" s="18">
        <v>1269.8699999999999</v>
      </c>
      <c r="K359" s="18">
        <v>998.55</v>
      </c>
      <c r="L359" s="19">
        <f>SUM(F359:K359)</f>
        <v>310824.68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127252.28</v>
      </c>
      <c r="G360" s="18">
        <v>53112.07</v>
      </c>
      <c r="H360" s="18">
        <v>5616.23</v>
      </c>
      <c r="I360" s="18">
        <f>14410.09+150397.72</f>
        <v>164807.81</v>
      </c>
      <c r="J360" s="18">
        <v>18974.38</v>
      </c>
      <c r="K360" s="18">
        <v>1208.4000000000001</v>
      </c>
      <c r="L360" s="19">
        <f>SUM(F360:K360)</f>
        <v>370971.17000000004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434918.61</v>
      </c>
      <c r="G362" s="47">
        <f t="shared" si="22"/>
        <v>218666.63</v>
      </c>
      <c r="H362" s="47">
        <f t="shared" si="22"/>
        <v>16148.25</v>
      </c>
      <c r="I362" s="47">
        <f t="shared" si="22"/>
        <v>458147.82</v>
      </c>
      <c r="J362" s="47">
        <f t="shared" si="22"/>
        <v>32041.83</v>
      </c>
      <c r="K362" s="47">
        <f t="shared" si="22"/>
        <v>4445.43</v>
      </c>
      <c r="L362" s="47">
        <f t="shared" si="22"/>
        <v>1164368.5699999998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142642.31</v>
      </c>
      <c r="G367" s="18">
        <v>116598.18</v>
      </c>
      <c r="H367" s="18">
        <v>150397.72</v>
      </c>
      <c r="I367" s="56">
        <f>SUM(F367:H367)</f>
        <v>409638.20999999996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18658.89</v>
      </c>
      <c r="G368" s="63">
        <v>15440.63</v>
      </c>
      <c r="H368" s="63">
        <v>14410.09</v>
      </c>
      <c r="I368" s="56">
        <f>SUM(F368:H368)</f>
        <v>48509.61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161301.20000000001</v>
      </c>
      <c r="G369" s="47">
        <f>SUM(G367:G368)</f>
        <v>132038.81</v>
      </c>
      <c r="H369" s="47">
        <f>SUM(H367:H368)</f>
        <v>164807.81</v>
      </c>
      <c r="I369" s="47">
        <f>SUM(I367:I368)</f>
        <v>458147.81999999995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4608.6099999999997</v>
      </c>
      <c r="I389" s="18">
        <v>3170.97</v>
      </c>
      <c r="J389" s="24" t="s">
        <v>289</v>
      </c>
      <c r="K389" s="24" t="s">
        <v>289</v>
      </c>
      <c r="L389" s="56">
        <f t="shared" si="25"/>
        <v>7779.58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>
        <v>370162.14</v>
      </c>
      <c r="J392" s="24" t="s">
        <v>289</v>
      </c>
      <c r="K392" s="24" t="s">
        <v>289</v>
      </c>
      <c r="L392" s="56">
        <f t="shared" si="25"/>
        <v>370162.14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4608.6099999999997</v>
      </c>
      <c r="I393" s="65">
        <f>SUM(I387:I392)</f>
        <v>373333.11</v>
      </c>
      <c r="J393" s="45" t="s">
        <v>289</v>
      </c>
      <c r="K393" s="45" t="s">
        <v>289</v>
      </c>
      <c r="L393" s="47">
        <f>SUM(L387:L392)</f>
        <v>377941.72000000003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50000</v>
      </c>
      <c r="H397" s="18">
        <v>1597.07</v>
      </c>
      <c r="I397" s="18">
        <v>2256.33</v>
      </c>
      <c r="J397" s="24" t="s">
        <v>289</v>
      </c>
      <c r="K397" s="24" t="s">
        <v>289</v>
      </c>
      <c r="L397" s="56">
        <f t="shared" si="26"/>
        <v>53853.4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13.39</v>
      </c>
      <c r="I400" s="18">
        <v>1.68</v>
      </c>
      <c r="J400" s="24" t="s">
        <v>289</v>
      </c>
      <c r="K400" s="24" t="s">
        <v>289</v>
      </c>
      <c r="L400" s="56">
        <f t="shared" si="26"/>
        <v>15.07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1610.46</v>
      </c>
      <c r="I401" s="47">
        <f>SUM(I395:I400)</f>
        <v>2258.0099999999998</v>
      </c>
      <c r="J401" s="45" t="s">
        <v>289</v>
      </c>
      <c r="K401" s="45" t="s">
        <v>289</v>
      </c>
      <c r="L401" s="47">
        <f>SUM(L395:L400)</f>
        <v>53868.47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6219.07</v>
      </c>
      <c r="I408" s="47">
        <f>I393+I401+I407</f>
        <v>375591.12</v>
      </c>
      <c r="J408" s="24" t="s">
        <v>289</v>
      </c>
      <c r="K408" s="24" t="s">
        <v>289</v>
      </c>
      <c r="L408" s="47">
        <f>L393+L401+L407</f>
        <v>431810.19000000006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>
        <v>299750</v>
      </c>
      <c r="L415" s="56">
        <f t="shared" si="27"/>
        <v>299750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299750</v>
      </c>
      <c r="L419" s="47">
        <f t="shared" si="28"/>
        <v>299750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 t="s">
        <v>911</v>
      </c>
      <c r="B432" s="6">
        <v>17</v>
      </c>
      <c r="C432" s="6">
        <v>18</v>
      </c>
      <c r="D432" s="2" t="s">
        <v>433</v>
      </c>
      <c r="E432" s="6"/>
      <c r="F432" s="18"/>
      <c r="G432" s="18"/>
      <c r="H432" s="18">
        <v>193252.39</v>
      </c>
      <c r="I432" s="18"/>
      <c r="J432" s="18">
        <v>173799.75</v>
      </c>
      <c r="K432" s="18">
        <v>7610</v>
      </c>
      <c r="L432" s="56">
        <f>SUM(F432:K432)</f>
        <v>374662.14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193252.39</v>
      </c>
      <c r="I433" s="47">
        <f t="shared" si="31"/>
        <v>0</v>
      </c>
      <c r="J433" s="47">
        <f t="shared" si="31"/>
        <v>173799.75</v>
      </c>
      <c r="K433" s="47">
        <f t="shared" si="31"/>
        <v>7610</v>
      </c>
      <c r="L433" s="47">
        <f t="shared" si="31"/>
        <v>374662.14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193252.39</v>
      </c>
      <c r="I434" s="47">
        <f t="shared" si="32"/>
        <v>0</v>
      </c>
      <c r="J434" s="47">
        <f t="shared" si="32"/>
        <v>173799.75</v>
      </c>
      <c r="K434" s="47">
        <f t="shared" si="32"/>
        <v>307360</v>
      </c>
      <c r="L434" s="47">
        <f t="shared" si="32"/>
        <v>674412.14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148439.85</v>
      </c>
      <c r="G439" s="18">
        <f>1.16+944.87+116152.27+181936.88-10705.07</f>
        <v>288330.11</v>
      </c>
      <c r="H439" s="18">
        <v>800.55</v>
      </c>
      <c r="I439" s="56">
        <f t="shared" ref="I439:I445" si="33">SUM(F439:H439)</f>
        <v>437570.50999999995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72949</v>
      </c>
      <c r="H441" s="18"/>
      <c r="I441" s="56">
        <f t="shared" si="33"/>
        <v>72949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>
        <v>7600</v>
      </c>
      <c r="H444" s="18"/>
      <c r="I444" s="56">
        <f t="shared" si="33"/>
        <v>7600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148439.85</v>
      </c>
      <c r="G446" s="13">
        <f>SUM(G439:G445)</f>
        <v>368879.11</v>
      </c>
      <c r="H446" s="13">
        <f>SUM(H439:H445)</f>
        <v>800.55</v>
      </c>
      <c r="I446" s="13">
        <f>SUM(I439:I445)</f>
        <v>518119.50999999995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>
        <v>72949</v>
      </c>
      <c r="H448" s="18"/>
      <c r="I448" s="56">
        <f>SUM(F448:H448)</f>
        <v>72949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72949</v>
      </c>
      <c r="H452" s="72">
        <f>SUM(H448:H451)</f>
        <v>0</v>
      </c>
      <c r="I452" s="72">
        <f>SUM(I448:I451)</f>
        <v>72949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>
        <v>7600</v>
      </c>
      <c r="H454" s="18"/>
      <c r="I454" s="56">
        <f t="shared" ref="I454:I459" si="34">SUM(F454:H454)</f>
        <v>7600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148439.85</v>
      </c>
      <c r="G459" s="18">
        <f>G446-G452-G454</f>
        <v>288330.11</v>
      </c>
      <c r="H459" s="18">
        <v>800.55</v>
      </c>
      <c r="I459" s="56">
        <f t="shared" si="34"/>
        <v>437570.50999999995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148439.85</v>
      </c>
      <c r="G460" s="83">
        <f>SUM(G454:G459)</f>
        <v>295930.11</v>
      </c>
      <c r="H460" s="83">
        <f>SUM(H454:H459)</f>
        <v>800.55</v>
      </c>
      <c r="I460" s="83">
        <f>SUM(I454:I459)</f>
        <v>445170.50999999995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148439.85</v>
      </c>
      <c r="G461" s="42">
        <f>G452+G460</f>
        <v>368879.11</v>
      </c>
      <c r="H461" s="42">
        <f>H452+H460</f>
        <v>800.55</v>
      </c>
      <c r="I461" s="42">
        <f>I452+I460</f>
        <v>518119.50999999995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1312010.05</v>
      </c>
      <c r="G465" s="18">
        <v>252814.17</v>
      </c>
      <c r="H465" s="18">
        <v>305680.31</v>
      </c>
      <c r="I465" s="18"/>
      <c r="J465" s="18">
        <v>687772.46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45613515.13-395749.95</f>
        <v>45217765.18</v>
      </c>
      <c r="G468" s="18">
        <v>1175823.05</v>
      </c>
      <c r="H468" s="18">
        <v>1768142.65</v>
      </c>
      <c r="I468" s="18"/>
      <c r="J468" s="18">
        <f>6219.07+55428.98+370162.14</f>
        <v>431810.19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45217765.18</v>
      </c>
      <c r="G470" s="53">
        <f>SUM(G468:G469)</f>
        <v>1175823.05</v>
      </c>
      <c r="H470" s="53">
        <f>SUM(H468:H469)</f>
        <v>1768142.65</v>
      </c>
      <c r="I470" s="53">
        <f>SUM(I468:I469)</f>
        <v>0</v>
      </c>
      <c r="J470" s="53">
        <f>SUM(J468:J469)</f>
        <v>431810.19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45535071.55</f>
        <v>45535071.549999997</v>
      </c>
      <c r="G472" s="18">
        <v>1164368.57</v>
      </c>
      <c r="H472" s="18">
        <v>1778429.85</v>
      </c>
      <c r="I472" s="18"/>
      <c r="J472" s="18">
        <f>299750+374662.14</f>
        <v>674412.14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45535071.549999997</v>
      </c>
      <c r="G474" s="53">
        <f>SUM(G472:G473)</f>
        <v>1164368.57</v>
      </c>
      <c r="H474" s="53">
        <f>SUM(H472:H473)</f>
        <v>1778429.85</v>
      </c>
      <c r="I474" s="53">
        <f>SUM(I472:I473)</f>
        <v>0</v>
      </c>
      <c r="J474" s="53">
        <f>SUM(J472:J473)</f>
        <v>674412.14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994703.6799999997</v>
      </c>
      <c r="G476" s="53">
        <f>(G465+G470)- G474</f>
        <v>264268.64999999991</v>
      </c>
      <c r="H476" s="53">
        <f>(H465+H470)- H474</f>
        <v>295393.10999999987</v>
      </c>
      <c r="I476" s="53">
        <f>(I465+I470)- I474</f>
        <v>0</v>
      </c>
      <c r="J476" s="53">
        <f>(J465+J470)- J474</f>
        <v>445170.50999999989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12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8220000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2.7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5440000</v>
      </c>
      <c r="G495" s="18"/>
      <c r="H495" s="18"/>
      <c r="I495" s="18"/>
      <c r="J495" s="18"/>
      <c r="K495" s="53">
        <f>SUM(F495:J495)</f>
        <v>5440000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850000</v>
      </c>
      <c r="G497" s="18"/>
      <c r="H497" s="18"/>
      <c r="I497" s="18"/>
      <c r="J497" s="18"/>
      <c r="K497" s="53">
        <f t="shared" si="35"/>
        <v>850000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4590000</v>
      </c>
      <c r="G498" s="204"/>
      <c r="H498" s="204"/>
      <c r="I498" s="204"/>
      <c r="J498" s="204"/>
      <c r="K498" s="205">
        <f t="shared" si="35"/>
        <v>4590000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477859.41</v>
      </c>
      <c r="G499" s="18"/>
      <c r="H499" s="18"/>
      <c r="I499" s="18"/>
      <c r="J499" s="18"/>
      <c r="K499" s="53">
        <f t="shared" si="35"/>
        <v>477859.41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5067859.41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5067859.41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820000</v>
      </c>
      <c r="G501" s="204"/>
      <c r="H501" s="204"/>
      <c r="I501" s="204"/>
      <c r="J501" s="204"/>
      <c r="K501" s="205">
        <f t="shared" si="35"/>
        <v>820000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135906.26</v>
      </c>
      <c r="G502" s="18"/>
      <c r="H502" s="18"/>
      <c r="I502" s="18"/>
      <c r="J502" s="18"/>
      <c r="K502" s="53">
        <f t="shared" si="35"/>
        <v>135906.26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955906.26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955906.26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1962076.74</v>
      </c>
      <c r="G507" s="144">
        <v>1936025.9</v>
      </c>
      <c r="H507" s="144">
        <v>-1962076.74</v>
      </c>
      <c r="I507" s="144">
        <v>1936025.9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2194385.4500000002</v>
      </c>
      <c r="G521" s="18">
        <v>782380.63</v>
      </c>
      <c r="H521" s="18">
        <v>885350.48</v>
      </c>
      <c r="I521" s="18">
        <v>34378.910000000003</v>
      </c>
      <c r="J521" s="18">
        <v>31018.38</v>
      </c>
      <c r="K521" s="18">
        <v>14126.77</v>
      </c>
      <c r="L521" s="88">
        <f>SUM(F521:K521)</f>
        <v>3941640.62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1012768.21</v>
      </c>
      <c r="G522" s="18">
        <v>405033.45</v>
      </c>
      <c r="H522" s="18">
        <v>421341.01</v>
      </c>
      <c r="I522" s="18">
        <v>3557.39</v>
      </c>
      <c r="J522" s="18">
        <v>11263.14</v>
      </c>
      <c r="K522" s="18">
        <v>447.14</v>
      </c>
      <c r="L522" s="88">
        <f>SUM(F522:K522)</f>
        <v>1854410.3399999996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1308114.8600000001</v>
      </c>
      <c r="G523" s="18">
        <v>501090.46</v>
      </c>
      <c r="H523" s="18">
        <v>693131.82</v>
      </c>
      <c r="I523" s="18">
        <v>7637.07</v>
      </c>
      <c r="J523" s="18">
        <v>6159.27</v>
      </c>
      <c r="K523" s="18">
        <v>3897.31</v>
      </c>
      <c r="L523" s="88">
        <f>SUM(F523:K523)</f>
        <v>2520030.79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4515268.5200000005</v>
      </c>
      <c r="G524" s="108">
        <f t="shared" ref="G524:L524" si="36">SUM(G521:G523)</f>
        <v>1688504.54</v>
      </c>
      <c r="H524" s="108">
        <f t="shared" si="36"/>
        <v>1999823.31</v>
      </c>
      <c r="I524" s="108">
        <f t="shared" si="36"/>
        <v>45573.37</v>
      </c>
      <c r="J524" s="108">
        <f t="shared" si="36"/>
        <v>48440.790000000008</v>
      </c>
      <c r="K524" s="108">
        <f t="shared" si="36"/>
        <v>18471.22</v>
      </c>
      <c r="L524" s="89">
        <f t="shared" si="36"/>
        <v>8316081.75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350127.78+50194.7</f>
        <v>400322.48000000004</v>
      </c>
      <c r="G526" s="18">
        <f>178634.94+15153.92</f>
        <v>193788.86000000002</v>
      </c>
      <c r="H526" s="18">
        <f>226545.86+8484.74</f>
        <v>235030.59999999998</v>
      </c>
      <c r="I526" s="18">
        <v>9048.91</v>
      </c>
      <c r="J526" s="18">
        <v>639.87</v>
      </c>
      <c r="K526" s="18"/>
      <c r="L526" s="88">
        <f>SUM(F526:K526)</f>
        <v>838830.72000000009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167106.44+87211.35</f>
        <v>254317.79</v>
      </c>
      <c r="G527" s="18">
        <f>85257.59+63588.59</f>
        <v>148846.18</v>
      </c>
      <c r="H527" s="18">
        <f>108124.16+932.69</f>
        <v>109056.85</v>
      </c>
      <c r="I527" s="18">
        <v>4318.8</v>
      </c>
      <c r="J527" s="18"/>
      <c r="K527" s="18"/>
      <c r="L527" s="88">
        <f>SUM(F527:K527)</f>
        <v>516539.61999999994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278510.73+45840.25</f>
        <v>324350.98</v>
      </c>
      <c r="G528" s="18">
        <f>142095.98+24426.11</f>
        <v>166522.09000000003</v>
      </c>
      <c r="H528" s="18">
        <v>180206.93</v>
      </c>
      <c r="I528" s="18">
        <f>7198+181.01</f>
        <v>7379.01</v>
      </c>
      <c r="J528" s="18"/>
      <c r="K528" s="18"/>
      <c r="L528" s="88">
        <f>SUM(F528:K528)</f>
        <v>678459.01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978991.25</v>
      </c>
      <c r="G529" s="89">
        <f t="shared" ref="G529:L529" si="37">SUM(G526:G528)</f>
        <v>509157.13000000006</v>
      </c>
      <c r="H529" s="89">
        <f t="shared" si="37"/>
        <v>524294.37999999989</v>
      </c>
      <c r="I529" s="89">
        <f t="shared" si="37"/>
        <v>20746.72</v>
      </c>
      <c r="J529" s="89">
        <f t="shared" si="37"/>
        <v>639.87</v>
      </c>
      <c r="K529" s="89">
        <f t="shared" si="37"/>
        <v>0</v>
      </c>
      <c r="L529" s="89">
        <f t="shared" si="37"/>
        <v>2033829.35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65185.37</v>
      </c>
      <c r="G531" s="18">
        <v>27521.31</v>
      </c>
      <c r="H531" s="18">
        <v>1361.21</v>
      </c>
      <c r="I531" s="18">
        <v>1443.43</v>
      </c>
      <c r="J531" s="18">
        <v>99.22</v>
      </c>
      <c r="K531" s="18">
        <v>553.67999999999995</v>
      </c>
      <c r="L531" s="88">
        <f>SUM(F531:K531)</f>
        <v>96164.22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31027.1</v>
      </c>
      <c r="G532" s="18">
        <v>13099.66</v>
      </c>
      <c r="H532" s="18">
        <v>647.91</v>
      </c>
      <c r="I532" s="18">
        <v>687.05</v>
      </c>
      <c r="J532" s="18">
        <v>47.23</v>
      </c>
      <c r="K532" s="18">
        <v>263.54000000000002</v>
      </c>
      <c r="L532" s="88">
        <f>SUM(F532:K532)</f>
        <v>45772.490000000005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50952.76</v>
      </c>
      <c r="G533" s="18">
        <v>21512.29</v>
      </c>
      <c r="H533" s="18">
        <v>1064</v>
      </c>
      <c r="I533" s="18">
        <v>1128.27</v>
      </c>
      <c r="J533" s="18">
        <v>77.56</v>
      </c>
      <c r="K533" s="18">
        <v>432.79</v>
      </c>
      <c r="L533" s="88">
        <f>SUM(F533:K533)</f>
        <v>75167.67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147165.23000000001</v>
      </c>
      <c r="G534" s="89">
        <f t="shared" ref="G534:L534" si="38">SUM(G531:G533)</f>
        <v>62133.26</v>
      </c>
      <c r="H534" s="89">
        <f t="shared" si="38"/>
        <v>3073.12</v>
      </c>
      <c r="I534" s="89">
        <f t="shared" si="38"/>
        <v>3258.75</v>
      </c>
      <c r="J534" s="89">
        <f t="shared" si="38"/>
        <v>224.01</v>
      </c>
      <c r="K534" s="89">
        <f t="shared" si="38"/>
        <v>1250.01</v>
      </c>
      <c r="L534" s="89">
        <f t="shared" si="38"/>
        <v>217104.38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4865.3900000000003</v>
      </c>
      <c r="I536" s="18"/>
      <c r="J536" s="18"/>
      <c r="K536" s="18"/>
      <c r="L536" s="88">
        <f>SUM(F536:K536)</f>
        <v>4865.3900000000003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2315.84</v>
      </c>
      <c r="I537" s="18"/>
      <c r="J537" s="18"/>
      <c r="K537" s="18"/>
      <c r="L537" s="88">
        <f>SUM(F537:K537)</f>
        <v>2315.84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3803.08</v>
      </c>
      <c r="I538" s="18"/>
      <c r="J538" s="18"/>
      <c r="K538" s="18"/>
      <c r="L538" s="88">
        <f>SUM(F538:K538)</f>
        <v>3803.08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10984.310000000001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10984.310000000001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286642.92</v>
      </c>
      <c r="I541" s="18"/>
      <c r="J541" s="18"/>
      <c r="K541" s="18"/>
      <c r="L541" s="88">
        <f>SUM(F541:K541)</f>
        <v>286642.92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136437.01999999999</v>
      </c>
      <c r="I542" s="18"/>
      <c r="J542" s="18"/>
      <c r="K542" s="18"/>
      <c r="L542" s="88">
        <f>SUM(F542:K542)</f>
        <v>136437.01999999999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224057.13</v>
      </c>
      <c r="I543" s="18"/>
      <c r="J543" s="18"/>
      <c r="K543" s="18"/>
      <c r="L543" s="88">
        <f>SUM(F543:K543)</f>
        <v>224057.13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647137.06999999995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647137.06999999995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5641425.0000000009</v>
      </c>
      <c r="G545" s="89">
        <f t="shared" ref="G545:L545" si="41">G524+G529+G534+G539+G544</f>
        <v>2259794.9299999997</v>
      </c>
      <c r="H545" s="89">
        <f t="shared" si="41"/>
        <v>3185312.19</v>
      </c>
      <c r="I545" s="89">
        <f t="shared" si="41"/>
        <v>69578.84</v>
      </c>
      <c r="J545" s="89">
        <f t="shared" si="41"/>
        <v>49304.670000000013</v>
      </c>
      <c r="K545" s="89">
        <f t="shared" si="41"/>
        <v>19721.23</v>
      </c>
      <c r="L545" s="89">
        <f t="shared" si="41"/>
        <v>11225136.860000001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3941640.62</v>
      </c>
      <c r="G549" s="87">
        <f>L526</f>
        <v>838830.72000000009</v>
      </c>
      <c r="H549" s="87">
        <f>L531</f>
        <v>96164.22</v>
      </c>
      <c r="I549" s="87">
        <f>L536</f>
        <v>4865.3900000000003</v>
      </c>
      <c r="J549" s="87">
        <f>L541</f>
        <v>286642.92</v>
      </c>
      <c r="K549" s="87">
        <f>SUM(F549:J549)</f>
        <v>5168143.8699999992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1854410.3399999996</v>
      </c>
      <c r="G550" s="87">
        <f>L527</f>
        <v>516539.61999999994</v>
      </c>
      <c r="H550" s="87">
        <f>L532</f>
        <v>45772.490000000005</v>
      </c>
      <c r="I550" s="87">
        <f>L537</f>
        <v>2315.84</v>
      </c>
      <c r="J550" s="87">
        <f>L542</f>
        <v>136437.01999999999</v>
      </c>
      <c r="K550" s="87">
        <f>SUM(F550:J550)</f>
        <v>2555475.3099999996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2520030.79</v>
      </c>
      <c r="G551" s="87">
        <f>L528</f>
        <v>678459.01</v>
      </c>
      <c r="H551" s="87">
        <f>L533</f>
        <v>75167.67</v>
      </c>
      <c r="I551" s="87">
        <f>L538</f>
        <v>3803.08</v>
      </c>
      <c r="J551" s="87">
        <f>L543</f>
        <v>224057.13</v>
      </c>
      <c r="K551" s="87">
        <f>SUM(F551:J551)</f>
        <v>3501517.6799999997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8316081.75</v>
      </c>
      <c r="G552" s="89">
        <f t="shared" si="42"/>
        <v>2033829.35</v>
      </c>
      <c r="H552" s="89">
        <f t="shared" si="42"/>
        <v>217104.38</v>
      </c>
      <c r="I552" s="89">
        <f t="shared" si="42"/>
        <v>10984.310000000001</v>
      </c>
      <c r="J552" s="89">
        <f t="shared" si="42"/>
        <v>647137.06999999995</v>
      </c>
      <c r="K552" s="89">
        <f t="shared" si="42"/>
        <v>11225136.859999999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52178.8</v>
      </c>
      <c r="G562" s="18">
        <v>19187.46</v>
      </c>
      <c r="H562" s="18"/>
      <c r="I562" s="18">
        <f>277.89+113.28</f>
        <v>391.16999999999996</v>
      </c>
      <c r="J562" s="18">
        <f>1412.36+1491.28</f>
        <v>2903.64</v>
      </c>
      <c r="K562" s="18">
        <v>295.04000000000002</v>
      </c>
      <c r="L562" s="88">
        <f>SUM(F562:K562)</f>
        <v>74956.11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f>31307.28+47271.9</f>
        <v>78579.179999999993</v>
      </c>
      <c r="G563" s="18">
        <f>11512.47+11293.32</f>
        <v>22805.79</v>
      </c>
      <c r="H563" s="18"/>
      <c r="I563" s="18">
        <v>166.74</v>
      </c>
      <c r="J563" s="18">
        <v>847.41</v>
      </c>
      <c r="K563" s="18">
        <v>177.02</v>
      </c>
      <c r="L563" s="88">
        <f>SUM(F563:K563)</f>
        <v>102576.14000000001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46960.92</v>
      </c>
      <c r="G564" s="18">
        <v>17268.71</v>
      </c>
      <c r="H564" s="18"/>
      <c r="I564" s="18">
        <v>250.1</v>
      </c>
      <c r="J564" s="18">
        <v>1271.1199999999999</v>
      </c>
      <c r="K564" s="18">
        <v>265.54000000000002</v>
      </c>
      <c r="L564" s="88">
        <f>SUM(F564:K564)</f>
        <v>66016.389999999985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177718.9</v>
      </c>
      <c r="G565" s="89">
        <f t="shared" si="44"/>
        <v>59261.96</v>
      </c>
      <c r="H565" s="89">
        <f t="shared" si="44"/>
        <v>0</v>
      </c>
      <c r="I565" s="89">
        <f t="shared" si="44"/>
        <v>808.01</v>
      </c>
      <c r="J565" s="89">
        <f t="shared" si="44"/>
        <v>5022.17</v>
      </c>
      <c r="K565" s="89">
        <f t="shared" si="44"/>
        <v>737.60000000000014</v>
      </c>
      <c r="L565" s="89">
        <f t="shared" si="44"/>
        <v>243548.63999999998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177718.9</v>
      </c>
      <c r="G571" s="89">
        <f t="shared" ref="G571:L571" si="46">G560+G565+G570</f>
        <v>59261.96</v>
      </c>
      <c r="H571" s="89">
        <f t="shared" si="46"/>
        <v>0</v>
      </c>
      <c r="I571" s="89">
        <f t="shared" si="46"/>
        <v>808.01</v>
      </c>
      <c r="J571" s="89">
        <f t="shared" si="46"/>
        <v>5022.17</v>
      </c>
      <c r="K571" s="89">
        <f t="shared" si="46"/>
        <v>737.60000000000014</v>
      </c>
      <c r="L571" s="89">
        <f t="shared" si="46"/>
        <v>243548.63999999998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14519</v>
      </c>
      <c r="I575" s="87">
        <f>SUM(F575:H575)</f>
        <v>14519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12441.74</v>
      </c>
      <c r="G579" s="18">
        <v>5922.05</v>
      </c>
      <c r="H579" s="18">
        <v>9725.2099999999991</v>
      </c>
      <c r="I579" s="87">
        <f t="shared" si="47"/>
        <v>28089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58592.77</v>
      </c>
      <c r="G582" s="18">
        <v>277270.39</v>
      </c>
      <c r="H582" s="18">
        <v>455029.91</v>
      </c>
      <c r="I582" s="87">
        <f t="shared" si="47"/>
        <v>790893.07000000007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24000</v>
      </c>
      <c r="I584" s="87">
        <f t="shared" si="47"/>
        <v>24000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490050.26+48834.3-3011.27+0.03</f>
        <v>535873.32000000007</v>
      </c>
      <c r="I591" s="18">
        <f>288640.3</f>
        <v>288640.3</v>
      </c>
      <c r="J591" s="18">
        <f>431449.86-3134.2</f>
        <v>428315.66</v>
      </c>
      <c r="K591" s="104">
        <f t="shared" ref="K591:K597" si="48">SUM(H591:J591)</f>
        <v>1252829.28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286642.92</v>
      </c>
      <c r="I592" s="18">
        <v>136437.01999999999</v>
      </c>
      <c r="J592" s="18">
        <v>224057.13</v>
      </c>
      <c r="K592" s="104">
        <f t="shared" si="48"/>
        <v>647137.06999999995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f>10464.07</f>
        <v>10464.07</v>
      </c>
      <c r="K593" s="104">
        <f t="shared" si="48"/>
        <v>10464.07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7513.98</v>
      </c>
      <c r="J594" s="18">
        <v>68440.28</v>
      </c>
      <c r="K594" s="104">
        <f t="shared" si="48"/>
        <v>75954.259999999995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3011.23+0.04</f>
        <v>3011.27</v>
      </c>
      <c r="I595" s="18"/>
      <c r="J595" s="18">
        <f>3134.2+6282.12</f>
        <v>9416.32</v>
      </c>
      <c r="K595" s="104">
        <f t="shared" si="48"/>
        <v>12427.59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825527.51</v>
      </c>
      <c r="I598" s="108">
        <f>SUM(I591:I597)</f>
        <v>432591.29999999993</v>
      </c>
      <c r="J598" s="108">
        <f>SUM(J591:J597)</f>
        <v>740693.46</v>
      </c>
      <c r="K598" s="108">
        <f>SUM(K591:K597)</f>
        <v>1998812.2700000003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254958.35+1625.91+544.28+1100.22+15569+21468-0.01+27176.02+1957.2+1412.36</f>
        <v>325811.33</v>
      </c>
      <c r="I604" s="18">
        <f>188921.68+1034.67+259.77+700.14+6160+5016-0.01+847.41</f>
        <v>202939.66</v>
      </c>
      <c r="J604" s="18">
        <f>180325.27+2266.42+432.95+1533.64+7671.73+5028-0.01+15705.81+1271.12+105064.32+2417.46</f>
        <v>321716.71000000002</v>
      </c>
      <c r="K604" s="104">
        <f>SUM(H604:J604)</f>
        <v>850467.7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325811.33</v>
      </c>
      <c r="I605" s="108">
        <f>SUM(I602:I604)</f>
        <v>202939.66</v>
      </c>
      <c r="J605" s="108">
        <f>SUM(J602:J604)</f>
        <v>321716.71000000002</v>
      </c>
      <c r="K605" s="108">
        <f>SUM(K602:K604)</f>
        <v>850467.7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83259.070000000007</v>
      </c>
      <c r="G611" s="18">
        <v>13464.16</v>
      </c>
      <c r="H611" s="18"/>
      <c r="I611" s="18"/>
      <c r="J611" s="18"/>
      <c r="K611" s="18"/>
      <c r="L611" s="88">
        <f>SUM(F611:K611)</f>
        <v>96723.23000000001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39737.279999999999</v>
      </c>
      <c r="G612" s="18">
        <v>6426.08</v>
      </c>
      <c r="H612" s="18"/>
      <c r="I612" s="18"/>
      <c r="J612" s="18"/>
      <c r="K612" s="18"/>
      <c r="L612" s="88">
        <f>SUM(F612:K612)</f>
        <v>46163.360000000001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66228.81</v>
      </c>
      <c r="G613" s="18">
        <v>10710.12</v>
      </c>
      <c r="H613" s="18"/>
      <c r="I613" s="18"/>
      <c r="J613" s="18"/>
      <c r="K613" s="18"/>
      <c r="L613" s="88">
        <f>SUM(F613:K613)</f>
        <v>76938.929999999993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189225.16</v>
      </c>
      <c r="G614" s="108">
        <f t="shared" si="49"/>
        <v>30600.36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219825.52000000002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3292951.63</v>
      </c>
      <c r="H617" s="109">
        <f>SUM(F52)</f>
        <v>3292951.6300000004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293773.96000000002</v>
      </c>
      <c r="H618" s="109">
        <f>SUM(G52)</f>
        <v>293773.96000000002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558045.35000000009</v>
      </c>
      <c r="H619" s="109">
        <f>SUM(H52)</f>
        <v>558045.35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518119.50999999995</v>
      </c>
      <c r="H621" s="109">
        <f>SUM(J52)</f>
        <v>518119.50999999995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994703.68</v>
      </c>
      <c r="H622" s="109">
        <f>F476</f>
        <v>994703.6799999997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264268.65000000002</v>
      </c>
      <c r="H623" s="109">
        <f>G476</f>
        <v>264268.64999999991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295393.11</v>
      </c>
      <c r="H624" s="109">
        <f>H476</f>
        <v>295393.10999999987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445170.50999999995</v>
      </c>
      <c r="H626" s="109">
        <f>J476</f>
        <v>445170.50999999989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45217765.180000007</v>
      </c>
      <c r="H627" s="104">
        <f>SUM(F468)</f>
        <v>45217765.18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1175823.0499999998</v>
      </c>
      <c r="H628" s="104">
        <f>SUM(G468)</f>
        <v>1175823.05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1768142.6500000001</v>
      </c>
      <c r="H629" s="104">
        <f>SUM(H468)</f>
        <v>1768142.65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431810.19</v>
      </c>
      <c r="H631" s="104">
        <f>SUM(J468)</f>
        <v>431810.19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45535071.549999997</v>
      </c>
      <c r="H632" s="104">
        <f>SUM(F472)</f>
        <v>45535071.549999997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1778429.85</v>
      </c>
      <c r="H633" s="104">
        <f>SUM(H472)</f>
        <v>1778429.85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458147.82</v>
      </c>
      <c r="H634" s="104">
        <f>I369</f>
        <v>458147.81999999995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1164368.5699999998</v>
      </c>
      <c r="H635" s="104">
        <f>SUM(G472)</f>
        <v>1164368.57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431810.19000000006</v>
      </c>
      <c r="H637" s="164">
        <f>SUM(J468)</f>
        <v>431810.19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674412.14</v>
      </c>
      <c r="H638" s="164">
        <f>SUM(J472)</f>
        <v>674412.14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148439.85</v>
      </c>
      <c r="H639" s="104">
        <f>SUM(F461)</f>
        <v>148439.85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368879.11</v>
      </c>
      <c r="H640" s="104">
        <f>SUM(G461)</f>
        <v>368879.11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800.55</v>
      </c>
      <c r="H641" s="104">
        <f>SUM(H461)</f>
        <v>800.55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518119.50999999995</v>
      </c>
      <c r="H642" s="104">
        <f>SUM(I461)</f>
        <v>518119.50999999995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6219.07</v>
      </c>
      <c r="H644" s="104">
        <f>H408</f>
        <v>6219.07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431810.19</v>
      </c>
      <c r="H646" s="104">
        <f>L408</f>
        <v>431810.19000000006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1998812.2700000003</v>
      </c>
      <c r="H647" s="104">
        <f>L208+L226+L244</f>
        <v>1998812.27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850467.7</v>
      </c>
      <c r="H648" s="104">
        <f>(J257+J338)-(J255+J336)</f>
        <v>850467.7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825527.51</v>
      </c>
      <c r="H649" s="104">
        <f>H598</f>
        <v>825527.51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432591.29999999993</v>
      </c>
      <c r="H650" s="104">
        <f>I598</f>
        <v>432591.29999999993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740693.46</v>
      </c>
      <c r="H651" s="104">
        <f>J598</f>
        <v>740693.46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18869378.729999997</v>
      </c>
      <c r="G660" s="19">
        <f>(L229+L309+L359)</f>
        <v>10701884.040000001</v>
      </c>
      <c r="H660" s="19">
        <f>(L247+L328+L360)</f>
        <v>17210610.010000002</v>
      </c>
      <c r="I660" s="19">
        <f>SUM(F660:H660)</f>
        <v>46781872.780000001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333101.93086396001</v>
      </c>
      <c r="G661" s="19">
        <f>(L359/IF(SUM(L358:L360)=0,1,SUM(L358:L360))*(SUM(G97:G110)))</f>
        <v>214550.67138518006</v>
      </c>
      <c r="H661" s="19">
        <f>(L360/IF(SUM(L358:L360)=0,1,SUM(L358:L360))*(SUM(G97:G110)))</f>
        <v>256067.54775085996</v>
      </c>
      <c r="I661" s="19">
        <f>SUM(F661:H661)</f>
        <v>803720.15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825527.51</v>
      </c>
      <c r="G662" s="19">
        <f>(L226+L306)-(J226+J306)</f>
        <v>432591.29999999993</v>
      </c>
      <c r="H662" s="19">
        <f>(L244+L325)-(J244+J325)</f>
        <v>740693.46</v>
      </c>
      <c r="I662" s="19">
        <f>SUM(F662:H662)</f>
        <v>1998812.27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493569.07000000007</v>
      </c>
      <c r="G663" s="199">
        <f>SUM(G575:G587)+SUM(I602:I604)+L612</f>
        <v>532295.46</v>
      </c>
      <c r="H663" s="199">
        <f>SUM(H575:H587)+SUM(J602:J604)+L613</f>
        <v>901929.76</v>
      </c>
      <c r="I663" s="19">
        <f>SUM(F663:H663)</f>
        <v>1927794.29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17217180.219136037</v>
      </c>
      <c r="G664" s="19">
        <f>G660-SUM(G661:G663)</f>
        <v>9522446.608614821</v>
      </c>
      <c r="H664" s="19">
        <f>H660-SUM(H661:H663)</f>
        <v>15311919.242249142</v>
      </c>
      <c r="I664" s="19">
        <f>I660-SUM(I661:I663)</f>
        <v>42051546.07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1425.91</v>
      </c>
      <c r="G665" s="248">
        <v>870.03</v>
      </c>
      <c r="H665" s="248">
        <v>1286.3599999999999</v>
      </c>
      <c r="I665" s="19">
        <f>SUM(F665:H665)</f>
        <v>3582.3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12074.52</v>
      </c>
      <c r="G667" s="19">
        <f>ROUND(G664/G665,2)</f>
        <v>10944.96</v>
      </c>
      <c r="H667" s="19">
        <f>ROUND(H664/H665,2)</f>
        <v>11903.29</v>
      </c>
      <c r="I667" s="19">
        <f>ROUND(I664/I665,2)</f>
        <v>11738.7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10.89</v>
      </c>
      <c r="I670" s="19">
        <f>SUM(F670:H670)</f>
        <v>10.89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12074.52</v>
      </c>
      <c r="G672" s="19">
        <f>ROUND((G664+G669)/(G665+G670),2)</f>
        <v>10944.96</v>
      </c>
      <c r="H672" s="19">
        <f>ROUND((H664+H669)/(H665+H670),2)</f>
        <v>11803.37</v>
      </c>
      <c r="I672" s="19">
        <f>ROUND((I664+I669)/(I665+I670),2)</f>
        <v>11703.12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HUDSON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11550457.920000002</v>
      </c>
      <c r="C9" s="229">
        <f>'DOE25'!G197+'DOE25'!G215+'DOE25'!G233+'DOE25'!G276+'DOE25'!G295+'DOE25'!G314</f>
        <v>5569297.5899999999</v>
      </c>
    </row>
    <row r="10" spans="1:3" x14ac:dyDescent="0.2">
      <c r="A10" t="s">
        <v>779</v>
      </c>
      <c r="B10" s="274">
        <f>9758724.48+231501.77</f>
        <v>9990226.25</v>
      </c>
      <c r="C10" s="240">
        <f>(B10/B9)*C9</f>
        <v>4816998.8898310037</v>
      </c>
    </row>
    <row r="11" spans="1:3" x14ac:dyDescent="0.2">
      <c r="A11" t="s">
        <v>780</v>
      </c>
      <c r="B11" s="240">
        <f>370848.24+27130.78</f>
        <v>397979.02</v>
      </c>
      <c r="C11" s="240">
        <f>(B11/B9)*C9</f>
        <v>191894.00215195637</v>
      </c>
    </row>
    <row r="12" spans="1:3" x14ac:dyDescent="0.2">
      <c r="A12" t="s">
        <v>781</v>
      </c>
      <c r="B12" s="240">
        <v>1162252.6499999999</v>
      </c>
      <c r="C12" s="240">
        <f>(B12/B9)*C9</f>
        <v>560404.69801703864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11550457.92</v>
      </c>
      <c r="C13" s="231">
        <f>SUM(C10:C12)</f>
        <v>5569297.5899999989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4515268.51</v>
      </c>
      <c r="C18" s="229">
        <f>'DOE25'!G198+'DOE25'!G216+'DOE25'!G234+'DOE25'!G277+'DOE25'!G296+'DOE25'!G315</f>
        <v>1688504.5399999998</v>
      </c>
    </row>
    <row r="19" spans="1:3" x14ac:dyDescent="0.2">
      <c r="A19" t="s">
        <v>779</v>
      </c>
      <c r="B19" s="240">
        <v>1959394.73</v>
      </c>
      <c r="C19" s="240">
        <f>(B19/B18)*C18</f>
        <v>732724.28648037906</v>
      </c>
    </row>
    <row r="20" spans="1:3" x14ac:dyDescent="0.2">
      <c r="A20" t="s">
        <v>780</v>
      </c>
      <c r="B20" s="240">
        <v>584294.11</v>
      </c>
      <c r="C20" s="240">
        <f>(B20/B18)*C18</f>
        <v>218499.35507606372</v>
      </c>
    </row>
    <row r="21" spans="1:3" x14ac:dyDescent="0.2">
      <c r="A21" t="s">
        <v>781</v>
      </c>
      <c r="B21" s="240">
        <v>1971579.67</v>
      </c>
      <c r="C21" s="240">
        <f>(B21/B18)*C18</f>
        <v>737280.89844355709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4515268.51</v>
      </c>
      <c r="C22" s="231">
        <f>SUM(C19:C21)</f>
        <v>1688504.5399999998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918251.75</v>
      </c>
      <c r="C27" s="234">
        <f>'DOE25'!G199+'DOE25'!G217+'DOE25'!G235+'DOE25'!G278+'DOE25'!G297+'DOE25'!G316</f>
        <v>465226.55</v>
      </c>
    </row>
    <row r="28" spans="1:3" x14ac:dyDescent="0.2">
      <c r="A28" t="s">
        <v>779</v>
      </c>
      <c r="B28" s="240">
        <v>587229.36</v>
      </c>
      <c r="C28" s="240">
        <f>(B28/B27)*C27</f>
        <v>297516.11059985234</v>
      </c>
    </row>
    <row r="29" spans="1:3" x14ac:dyDescent="0.2">
      <c r="A29" t="s">
        <v>780</v>
      </c>
      <c r="B29" s="240">
        <v>55863.95</v>
      </c>
      <c r="C29" s="240">
        <f>(B29/B27)*C27</f>
        <v>28303.123547406794</v>
      </c>
    </row>
    <row r="30" spans="1:3" x14ac:dyDescent="0.2">
      <c r="A30" t="s">
        <v>781</v>
      </c>
      <c r="B30" s="240">
        <f>275983.44-825</f>
        <v>275158.44</v>
      </c>
      <c r="C30" s="240">
        <f>(B30/B27)*C27</f>
        <v>139407.31585274081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918251.75</v>
      </c>
      <c r="C31" s="231">
        <f>SUM(C28:C30)</f>
        <v>465226.54999999993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323257.41000000003</v>
      </c>
      <c r="C36" s="235">
        <f>'DOE25'!G200+'DOE25'!G218+'DOE25'!G236+'DOE25'!G279+'DOE25'!G298+'DOE25'!G317</f>
        <v>54468.15</v>
      </c>
    </row>
    <row r="37" spans="1:3" x14ac:dyDescent="0.2">
      <c r="A37" t="s">
        <v>779</v>
      </c>
      <c r="B37" s="240">
        <v>323257.40999999997</v>
      </c>
      <c r="C37" s="240">
        <v>54468.15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323257.40999999997</v>
      </c>
      <c r="C40" s="231">
        <f>SUM(C37:C39)</f>
        <v>54468.15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FY2014-2015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18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HUDSON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27379519.969999999</v>
      </c>
      <c r="D5" s="20">
        <f>SUM('DOE25'!L197:L200)+SUM('DOE25'!L215:L218)+SUM('DOE25'!L233:L236)-F5-G5</f>
        <v>26934066.249999996</v>
      </c>
      <c r="E5" s="243"/>
      <c r="F5" s="255">
        <f>SUM('DOE25'!J197:J200)+SUM('DOE25'!J215:J218)+SUM('DOE25'!J233:J236)</f>
        <v>423221.77999999997</v>
      </c>
      <c r="G5" s="53">
        <f>SUM('DOE25'!K197:K200)+SUM('DOE25'!K215:K218)+SUM('DOE25'!K233:K236)</f>
        <v>22231.94</v>
      </c>
      <c r="H5" s="259"/>
    </row>
    <row r="6" spans="1:9" x14ac:dyDescent="0.2">
      <c r="A6" s="32">
        <v>2100</v>
      </c>
      <c r="B6" t="s">
        <v>801</v>
      </c>
      <c r="C6" s="245">
        <f t="shared" si="0"/>
        <v>4051700.0300000003</v>
      </c>
      <c r="D6" s="20">
        <f>'DOE25'!L202+'DOE25'!L220+'DOE25'!L238-F6-G6</f>
        <v>4043396.7500000005</v>
      </c>
      <c r="E6" s="243"/>
      <c r="F6" s="255">
        <f>'DOE25'!J202+'DOE25'!J220+'DOE25'!J238</f>
        <v>7195.2800000000007</v>
      </c>
      <c r="G6" s="53">
        <f>'DOE25'!K202+'DOE25'!K220+'DOE25'!K238</f>
        <v>1108</v>
      </c>
      <c r="H6" s="259"/>
    </row>
    <row r="7" spans="1:9" x14ac:dyDescent="0.2">
      <c r="A7" s="32">
        <v>2200</v>
      </c>
      <c r="B7" t="s">
        <v>834</v>
      </c>
      <c r="C7" s="245">
        <f t="shared" si="0"/>
        <v>1304370.92</v>
      </c>
      <c r="D7" s="20">
        <f>'DOE25'!L203+'DOE25'!L221+'DOE25'!L239-F7-G7</f>
        <v>1091921.0799999998</v>
      </c>
      <c r="E7" s="243"/>
      <c r="F7" s="255">
        <f>'DOE25'!J203+'DOE25'!J221+'DOE25'!J239</f>
        <v>211597.84</v>
      </c>
      <c r="G7" s="53">
        <f>'DOE25'!K203+'DOE25'!K221+'DOE25'!K239</f>
        <v>852</v>
      </c>
      <c r="H7" s="259"/>
    </row>
    <row r="8" spans="1:9" x14ac:dyDescent="0.2">
      <c r="A8" s="32">
        <v>2300</v>
      </c>
      <c r="B8" t="s">
        <v>802</v>
      </c>
      <c r="C8" s="245">
        <f t="shared" si="0"/>
        <v>247191.56000000017</v>
      </c>
      <c r="D8" s="243"/>
      <c r="E8" s="20">
        <f>'DOE25'!L204+'DOE25'!L222+'DOE25'!L240-F8-G8-D9-D11</f>
        <v>215630.37000000017</v>
      </c>
      <c r="F8" s="255">
        <f>'DOE25'!J204+'DOE25'!J222+'DOE25'!J240</f>
        <v>8504.1999999999989</v>
      </c>
      <c r="G8" s="53">
        <f>'DOE25'!K204+'DOE25'!K222+'DOE25'!K240</f>
        <v>23056.99</v>
      </c>
      <c r="H8" s="259"/>
    </row>
    <row r="9" spans="1:9" x14ac:dyDescent="0.2">
      <c r="A9" s="32">
        <v>2310</v>
      </c>
      <c r="B9" t="s">
        <v>818</v>
      </c>
      <c r="C9" s="245">
        <f t="shared" si="0"/>
        <v>98149.83</v>
      </c>
      <c r="D9" s="244">
        <f>9900+3814.06+77118.66+7317.11</f>
        <v>98149.83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25339</v>
      </c>
      <c r="D10" s="243"/>
      <c r="E10" s="244">
        <v>25339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469978.94</v>
      </c>
      <c r="D11" s="244">
        <f>477022.15-7043.21</f>
        <v>469978.94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2715789.79</v>
      </c>
      <c r="D12" s="20">
        <f>'DOE25'!L205+'DOE25'!L223+'DOE25'!L241-F12-G12</f>
        <v>2700545.19</v>
      </c>
      <c r="E12" s="243"/>
      <c r="F12" s="255">
        <f>'DOE25'!J205+'DOE25'!J223+'DOE25'!J241</f>
        <v>4165.6000000000004</v>
      </c>
      <c r="G12" s="53">
        <f>'DOE25'!K205+'DOE25'!K223+'DOE25'!K241</f>
        <v>11079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800846.12</v>
      </c>
      <c r="D13" s="243"/>
      <c r="E13" s="20">
        <f>'DOE25'!L206+'DOE25'!L224+'DOE25'!L242-F13-G13</f>
        <v>794659.65</v>
      </c>
      <c r="F13" s="255">
        <f>'DOE25'!J206+'DOE25'!J224+'DOE25'!J242</f>
        <v>6186.4700000000012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4826926.68</v>
      </c>
      <c r="D14" s="20">
        <f>'DOE25'!L207+'DOE25'!L225+'DOE25'!L243-F14-G14</f>
        <v>4793181.8499999996</v>
      </c>
      <c r="E14" s="243"/>
      <c r="F14" s="255">
        <f>'DOE25'!J207+'DOE25'!J225+'DOE25'!J243</f>
        <v>33744.83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1998812.27</v>
      </c>
      <c r="D15" s="20">
        <f>'DOE25'!L208+'DOE25'!L226+'DOE25'!L244-F15-G15</f>
        <v>1998812.27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299750</v>
      </c>
      <c r="D22" s="243"/>
      <c r="E22" s="243"/>
      <c r="F22" s="255">
        <f>'DOE25'!L255+'DOE25'!L336</f>
        <v>299750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1292035.44</v>
      </c>
      <c r="D25" s="243"/>
      <c r="E25" s="243"/>
      <c r="F25" s="258"/>
      <c r="G25" s="256"/>
      <c r="H25" s="257">
        <f>'DOE25'!L260+'DOE25'!L261+'DOE25'!L341+'DOE25'!L342</f>
        <v>1292035.44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754730.35999999987</v>
      </c>
      <c r="D29" s="20">
        <f>'DOE25'!L358+'DOE25'!L359+'DOE25'!L360-'DOE25'!I367-F29-G29</f>
        <v>718243.09999999986</v>
      </c>
      <c r="E29" s="243"/>
      <c r="F29" s="255">
        <f>'DOE25'!J358+'DOE25'!J359+'DOE25'!J360</f>
        <v>32041.83</v>
      </c>
      <c r="G29" s="53">
        <f>'DOE25'!K358+'DOE25'!K359+'DOE25'!K360</f>
        <v>4445.43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1778429.85</v>
      </c>
      <c r="D31" s="20">
        <f>'DOE25'!L290+'DOE25'!L309+'DOE25'!L328+'DOE25'!L333+'DOE25'!L334+'DOE25'!L335-F31-G31</f>
        <v>1579422.1300000001</v>
      </c>
      <c r="E31" s="243"/>
      <c r="F31" s="255">
        <f>'DOE25'!J290+'DOE25'!J309+'DOE25'!J328+'DOE25'!J333+'DOE25'!J334+'DOE25'!J335</f>
        <v>155851.69999999998</v>
      </c>
      <c r="G31" s="53">
        <f>'DOE25'!K290+'DOE25'!K309+'DOE25'!K328+'DOE25'!K333+'DOE25'!K334+'DOE25'!K335</f>
        <v>43156.01999999999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44427717.390000001</v>
      </c>
      <c r="E33" s="246">
        <f>SUM(E5:E31)</f>
        <v>1035629.0200000003</v>
      </c>
      <c r="F33" s="246">
        <f>SUM(F5:F31)</f>
        <v>1182259.5299999998</v>
      </c>
      <c r="G33" s="246">
        <f>SUM(G5:G31)</f>
        <v>105929.37999999999</v>
      </c>
      <c r="H33" s="246">
        <f>SUM(H5:H31)</f>
        <v>1292035.44</v>
      </c>
    </row>
    <row r="35" spans="2:8" ht="12" thickBot="1" x14ac:dyDescent="0.25">
      <c r="B35" s="253" t="s">
        <v>847</v>
      </c>
      <c r="D35" s="254">
        <f>E33</f>
        <v>1035629.0200000003</v>
      </c>
      <c r="E35" s="249"/>
    </row>
    <row r="36" spans="2:8" ht="12" thickTop="1" x14ac:dyDescent="0.2">
      <c r="B36" t="s">
        <v>815</v>
      </c>
      <c r="D36" s="20">
        <f>D33</f>
        <v>44427717.390000001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19" activePane="bottomLeft" state="frozen"/>
      <selection activeCell="F46" sqref="F46"/>
      <selection pane="bottomLeft" activeCell="L118" sqref="L11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HUDSON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2681679.69</v>
      </c>
      <c r="D8" s="95">
        <f>'DOE25'!G9</f>
        <v>262634.01</v>
      </c>
      <c r="E8" s="95">
        <f>'DOE25'!H9</f>
        <v>305983.67000000004</v>
      </c>
      <c r="F8" s="95">
        <f>'DOE25'!I9</f>
        <v>0</v>
      </c>
      <c r="G8" s="95">
        <f>'DOE25'!J9</f>
        <v>437570.50999999995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258736.94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72949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229517.49</v>
      </c>
      <c r="D12" s="95">
        <f>'DOE25'!G13</f>
        <v>0</v>
      </c>
      <c r="E12" s="95">
        <f>'DOE25'!H13</f>
        <v>252061.68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22351.69</v>
      </c>
      <c r="D13" s="95">
        <f>'DOE25'!G14</f>
        <v>31139.95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100665.82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7600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3292951.63</v>
      </c>
      <c r="D18" s="41">
        <f>SUM(D8:D17)</f>
        <v>293773.96000000002</v>
      </c>
      <c r="E18" s="41">
        <f>SUM(E8:E17)</f>
        <v>558045.35000000009</v>
      </c>
      <c r="F18" s="41">
        <f>SUM(F8:F17)</f>
        <v>0</v>
      </c>
      <c r="G18" s="41">
        <f>SUM(G8:G17)</f>
        <v>518119.50999999995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248031.87</v>
      </c>
      <c r="F21" s="95">
        <f>'DOE25'!I22</f>
        <v>0</v>
      </c>
      <c r="G21" s="95">
        <f>'DOE25'!J22</f>
        <v>72949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49714.07</v>
      </c>
      <c r="D22" s="95">
        <f>'DOE25'!G23</f>
        <v>0</v>
      </c>
      <c r="E22" s="95">
        <f>'DOE25'!H23</f>
        <v>862.56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123048.41</v>
      </c>
      <c r="D23" s="95">
        <f>'DOE25'!G24</f>
        <v>0</v>
      </c>
      <c r="E23" s="95">
        <f>'DOE25'!H24</f>
        <v>9405.56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322689.09000000003</v>
      </c>
      <c r="D27" s="95">
        <f>'DOE25'!G28</f>
        <v>2646.56</v>
      </c>
      <c r="E27" s="95">
        <f>'DOE25'!H28</f>
        <v>1185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1802796.38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26858.75</v>
      </c>
      <c r="E29" s="95">
        <f>'DOE25'!H30</f>
        <v>3167.25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2298247.9500000002</v>
      </c>
      <c r="D31" s="41">
        <f>SUM(D21:D30)</f>
        <v>29505.31</v>
      </c>
      <c r="E31" s="41">
        <f>SUM(E21:E30)</f>
        <v>262652.24</v>
      </c>
      <c r="F31" s="41">
        <f>SUM(F21:F30)</f>
        <v>0</v>
      </c>
      <c r="G31" s="41">
        <f>SUM(G21:G30)</f>
        <v>72949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100665.82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264268.65000000002</v>
      </c>
      <c r="E47" s="95">
        <f>'DOE25'!H48</f>
        <v>278182.37</v>
      </c>
      <c r="F47" s="95">
        <f>'DOE25'!I48</f>
        <v>0</v>
      </c>
      <c r="G47" s="95">
        <f>'DOE25'!J48</f>
        <v>437570.50999999995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332175.82</v>
      </c>
      <c r="D48" s="95">
        <f>'DOE25'!G49</f>
        <v>0</v>
      </c>
      <c r="E48" s="95">
        <f>'DOE25'!H49</f>
        <v>17210.740000000002</v>
      </c>
      <c r="F48" s="95">
        <f>'DOE25'!I49</f>
        <v>0</v>
      </c>
      <c r="G48" s="95">
        <f>'DOE25'!J49</f>
        <v>7600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361862.04000000004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994703.68</v>
      </c>
      <c r="D50" s="41">
        <f>SUM(D34:D49)</f>
        <v>264268.65000000002</v>
      </c>
      <c r="E50" s="41">
        <f>SUM(E34:E49)</f>
        <v>295393.11</v>
      </c>
      <c r="F50" s="41">
        <f>SUM(F34:F49)</f>
        <v>0</v>
      </c>
      <c r="G50" s="41">
        <f>SUM(G34:G49)</f>
        <v>445170.50999999995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3292951.6300000004</v>
      </c>
      <c r="D51" s="41">
        <f>D50+D31</f>
        <v>293773.96000000002</v>
      </c>
      <c r="E51" s="41">
        <f>E50+E31</f>
        <v>558045.35</v>
      </c>
      <c r="F51" s="41">
        <f>F50+F31</f>
        <v>0</v>
      </c>
      <c r="G51" s="41">
        <f>G50+G31</f>
        <v>518119.50999999995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27672029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199684.95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8368.51</v>
      </c>
      <c r="D59" s="95">
        <f>'DOE25'!G96</f>
        <v>607.25</v>
      </c>
      <c r="E59" s="95">
        <f>'DOE25'!H96</f>
        <v>621.32999999999993</v>
      </c>
      <c r="F59" s="95">
        <f>'DOE25'!I96</f>
        <v>0</v>
      </c>
      <c r="G59" s="95">
        <f>'DOE25'!J96</f>
        <v>6219.07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780315.08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737035.36999999988</v>
      </c>
      <c r="D61" s="95">
        <f>SUM('DOE25'!G98:G110)</f>
        <v>23405.07</v>
      </c>
      <c r="E61" s="95">
        <f>SUM('DOE25'!H98:H110)</f>
        <v>221637.44</v>
      </c>
      <c r="F61" s="95">
        <f>SUM('DOE25'!I98:I110)</f>
        <v>0</v>
      </c>
      <c r="G61" s="95">
        <f>SUM('DOE25'!J98:J110)</f>
        <v>375591.12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945088.82999999984</v>
      </c>
      <c r="D62" s="130">
        <f>SUM(D57:D61)</f>
        <v>804327.39999999991</v>
      </c>
      <c r="E62" s="130">
        <f>SUM(E57:E61)</f>
        <v>222258.77</v>
      </c>
      <c r="F62" s="130">
        <f>SUM(F57:F61)</f>
        <v>0</v>
      </c>
      <c r="G62" s="130">
        <f>SUM(G57:G61)</f>
        <v>381810.19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28617117.829999998</v>
      </c>
      <c r="D63" s="22">
        <f>D56+D62</f>
        <v>804327.39999999991</v>
      </c>
      <c r="E63" s="22">
        <f>E56+E62</f>
        <v>222258.77</v>
      </c>
      <c r="F63" s="22">
        <f>F56+F62</f>
        <v>0</v>
      </c>
      <c r="G63" s="22">
        <f>G56+G62</f>
        <v>381810.19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9045779.6300000008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6067148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15112927.630000001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384230.82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324623.03999999998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33276.519999999997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18457.830000000002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742130.38</v>
      </c>
      <c r="D78" s="130">
        <f>SUM(D72:D77)</f>
        <v>18457.830000000002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15855058.010000002</v>
      </c>
      <c r="D81" s="130">
        <f>SUM(D79:D80)+D78+D70</f>
        <v>18457.830000000002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410776.53</v>
      </c>
      <c r="D88" s="95">
        <f>SUM('DOE25'!G153:G161)</f>
        <v>353037.82000000007</v>
      </c>
      <c r="E88" s="95">
        <f>SUM('DOE25'!H153:H161)</f>
        <v>1545883.8800000001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410776.53</v>
      </c>
      <c r="D91" s="131">
        <f>SUM(D85:D90)</f>
        <v>353037.82000000007</v>
      </c>
      <c r="E91" s="131">
        <f>SUM(E85:E90)</f>
        <v>1545883.8800000001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35062.81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299750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334812.81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45217765.180000007</v>
      </c>
      <c r="D104" s="86">
        <f>D63+D81+D91+D103</f>
        <v>1175823.0499999998</v>
      </c>
      <c r="E104" s="86">
        <f>E63+E81+E91+E103</f>
        <v>1768142.6500000001</v>
      </c>
      <c r="F104" s="86">
        <f>F63+F81+F91+F103</f>
        <v>0</v>
      </c>
      <c r="G104" s="86">
        <f>G63+G81+G103</f>
        <v>431810.19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17763711.98</v>
      </c>
      <c r="D109" s="24" t="s">
        <v>289</v>
      </c>
      <c r="E109" s="95">
        <f>('DOE25'!L276)+('DOE25'!L295)+('DOE25'!L314)</f>
        <v>516084.00999999995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7504140.7200000007</v>
      </c>
      <c r="D110" s="24" t="s">
        <v>289</v>
      </c>
      <c r="E110" s="95">
        <f>('DOE25'!L277)+('DOE25'!L296)+('DOE25'!L315)</f>
        <v>823125.33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1549750.83</v>
      </c>
      <c r="D111" s="24" t="s">
        <v>289</v>
      </c>
      <c r="E111" s="95">
        <f>('DOE25'!L278)+('DOE25'!L297)+('DOE25'!L316)</f>
        <v>285399.06999999995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561916.43999999994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54211.75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27379519.970000003</v>
      </c>
      <c r="D115" s="86">
        <f>SUM(D109:D114)</f>
        <v>0</v>
      </c>
      <c r="E115" s="86">
        <f>SUM(E109:E114)</f>
        <v>1678820.1599999997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4051700.0300000003</v>
      </c>
      <c r="D118" s="24" t="s">
        <v>289</v>
      </c>
      <c r="E118" s="95">
        <f>+('DOE25'!L281)+('DOE25'!L300)+('DOE25'!L319)</f>
        <v>9470.39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1304370.92</v>
      </c>
      <c r="D119" s="24" t="s">
        <v>289</v>
      </c>
      <c r="E119" s="95">
        <f>+('DOE25'!L282)+('DOE25'!L301)+('DOE25'!L320)</f>
        <v>90139.3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815320.33000000007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2715789.79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800846.12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4826926.68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1998812.27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1164368.5699999998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16513766.139999999</v>
      </c>
      <c r="D128" s="86">
        <f>SUM(D118:D127)</f>
        <v>1164368.5699999998</v>
      </c>
      <c r="E128" s="86">
        <f>SUM(E118:E127)</f>
        <v>99609.69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299750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1092830.31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199205.13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307360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377941.72000000003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53868.47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-381810.19000000006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1641785.44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307360</v>
      </c>
    </row>
    <row r="145" spans="1:9" ht="12.75" thickTop="1" thickBot="1" x14ac:dyDescent="0.25">
      <c r="A145" s="33" t="s">
        <v>244</v>
      </c>
      <c r="C145" s="86">
        <f>(C115+C128+C144)</f>
        <v>45535071.549999997</v>
      </c>
      <c r="D145" s="86">
        <f>(D115+D128+D144)</f>
        <v>1164368.5699999998</v>
      </c>
      <c r="E145" s="86">
        <f>(E115+E128+E144)</f>
        <v>1778429.8499999996</v>
      </c>
      <c r="F145" s="86">
        <f>(F115+F128+F144)</f>
        <v>0</v>
      </c>
      <c r="G145" s="86">
        <f>(G115+G128+G144)</f>
        <v>307360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12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06/21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8220000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2.7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5440000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5440000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850000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850000</v>
      </c>
    </row>
    <row r="159" spans="1:9" x14ac:dyDescent="0.2">
      <c r="A159" s="22" t="s">
        <v>35</v>
      </c>
      <c r="B159" s="137">
        <f>'DOE25'!F498</f>
        <v>4590000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4590000</v>
      </c>
    </row>
    <row r="160" spans="1:9" x14ac:dyDescent="0.2">
      <c r="A160" s="22" t="s">
        <v>36</v>
      </c>
      <c r="B160" s="137">
        <f>'DOE25'!F499</f>
        <v>477859.41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477859.41</v>
      </c>
    </row>
    <row r="161" spans="1:7" x14ac:dyDescent="0.2">
      <c r="A161" s="22" t="s">
        <v>37</v>
      </c>
      <c r="B161" s="137">
        <f>'DOE25'!F500</f>
        <v>5067859.41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5067859.41</v>
      </c>
    </row>
    <row r="162" spans="1:7" x14ac:dyDescent="0.2">
      <c r="A162" s="22" t="s">
        <v>38</v>
      </c>
      <c r="B162" s="137">
        <f>'DOE25'!F501</f>
        <v>820000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820000</v>
      </c>
    </row>
    <row r="163" spans="1:7" x14ac:dyDescent="0.2">
      <c r="A163" s="22" t="s">
        <v>39</v>
      </c>
      <c r="B163" s="137">
        <f>'DOE25'!F502</f>
        <v>135906.26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135906.26</v>
      </c>
    </row>
    <row r="164" spans="1:7" x14ac:dyDescent="0.2">
      <c r="A164" s="22" t="s">
        <v>246</v>
      </c>
      <c r="B164" s="137">
        <f>'DOE25'!F503</f>
        <v>955906.26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955906.26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4" workbookViewId="0">
      <selection activeCell="C30" sqref="C30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HUDSON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12075</v>
      </c>
    </row>
    <row r="5" spans="1:4" x14ac:dyDescent="0.2">
      <c r="B5" t="s">
        <v>704</v>
      </c>
      <c r="C5" s="179">
        <f>IF('DOE25'!G665+'DOE25'!G670=0,0,ROUND('DOE25'!G672,0))</f>
        <v>10945</v>
      </c>
    </row>
    <row r="6" spans="1:4" x14ac:dyDescent="0.2">
      <c r="B6" t="s">
        <v>62</v>
      </c>
      <c r="C6" s="179">
        <f>IF('DOE25'!H665+'DOE25'!H670=0,0,ROUND('DOE25'!H672,0))</f>
        <v>11803</v>
      </c>
    </row>
    <row r="7" spans="1:4" x14ac:dyDescent="0.2">
      <c r="B7" t="s">
        <v>705</v>
      </c>
      <c r="C7" s="179">
        <f>IF('DOE25'!I665+'DOE25'!I670=0,0,ROUND('DOE25'!I672,0))</f>
        <v>11703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18279796</v>
      </c>
      <c r="D10" s="182">
        <f>ROUND((C10/$C$28)*100,1)</f>
        <v>39.5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8327266</v>
      </c>
      <c r="D11" s="182">
        <f>ROUND((C11/$C$28)*100,1)</f>
        <v>18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1835150</v>
      </c>
      <c r="D12" s="182">
        <f>ROUND((C12/$C$28)*100,1)</f>
        <v>4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561916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4061170</v>
      </c>
      <c r="D15" s="182">
        <f t="shared" ref="D15:D27" si="0">ROUND((C15/$C$28)*100,1)</f>
        <v>8.8000000000000007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1394510</v>
      </c>
      <c r="D16" s="182">
        <f t="shared" si="0"/>
        <v>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815320</v>
      </c>
      <c r="D17" s="182">
        <f t="shared" si="0"/>
        <v>1.8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2715790</v>
      </c>
      <c r="D18" s="182">
        <f t="shared" si="0"/>
        <v>5.9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800846</v>
      </c>
      <c r="D19" s="182">
        <f t="shared" si="0"/>
        <v>1.7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4826927</v>
      </c>
      <c r="D20" s="182">
        <f t="shared" si="0"/>
        <v>10.4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1998812</v>
      </c>
      <c r="D21" s="182">
        <f t="shared" si="0"/>
        <v>4.3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54212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ROUND('DOE25'!L261+'DOE25'!L342,0)</f>
        <v>199205</v>
      </c>
      <c r="D25" s="182">
        <f t="shared" si="0"/>
        <v>0.4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360648.85000000009</v>
      </c>
      <c r="D27" s="182">
        <f t="shared" si="0"/>
        <v>0.8</v>
      </c>
    </row>
    <row r="28" spans="1:4" x14ac:dyDescent="0.2">
      <c r="B28" s="187" t="s">
        <v>723</v>
      </c>
      <c r="C28" s="180">
        <f>SUM(C10:C27)</f>
        <v>46231568.850000001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299750</v>
      </c>
    </row>
    <row r="30" spans="1:4" x14ac:dyDescent="0.2">
      <c r="B30" s="187" t="s">
        <v>729</v>
      </c>
      <c r="C30" s="180">
        <f>SUM(C28:C29)</f>
        <v>46531318.850000001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1092830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27672029</v>
      </c>
      <c r="D35" s="182">
        <f t="shared" ref="D35:D40" si="1">ROUND((C35/$C$41)*100,1)</f>
        <v>58.4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1549765.0399999991</v>
      </c>
      <c r="D36" s="182">
        <f t="shared" si="1"/>
        <v>3.3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15112928</v>
      </c>
      <c r="D37" s="182">
        <f t="shared" si="1"/>
        <v>31.9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760588</v>
      </c>
      <c r="D38" s="182">
        <f t="shared" si="1"/>
        <v>1.6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2309698</v>
      </c>
      <c r="D39" s="182">
        <f t="shared" si="1"/>
        <v>4.9000000000000004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47405008.039999999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HUDSON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2015-09-03T11:58:43Z</cp:lastPrinted>
  <dcterms:created xsi:type="dcterms:W3CDTF">1997-12-04T19:04:30Z</dcterms:created>
  <dcterms:modified xsi:type="dcterms:W3CDTF">2015-12-18T18:09:00Z</dcterms:modified>
</cp:coreProperties>
</file>