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1" i="12" l="1"/>
  <c r="G611" i="1"/>
  <c r="F611" i="1"/>
  <c r="H604" i="1"/>
  <c r="K360" i="1" l="1"/>
  <c r="K358" i="1"/>
  <c r="J360" i="1"/>
  <c r="J358" i="1"/>
  <c r="I360" i="1"/>
  <c r="I358" i="1"/>
  <c r="H360" i="1"/>
  <c r="H358" i="1"/>
  <c r="I528" i="1"/>
  <c r="H528" i="1"/>
  <c r="G528" i="1"/>
  <c r="F528" i="1"/>
  <c r="I526" i="1"/>
  <c r="H526" i="1"/>
  <c r="G526" i="1"/>
  <c r="F526" i="1"/>
  <c r="I564" i="1"/>
  <c r="H564" i="1"/>
  <c r="G564" i="1"/>
  <c r="F564" i="1"/>
  <c r="I562" i="1"/>
  <c r="H562" i="1"/>
  <c r="G562" i="1"/>
  <c r="F562" i="1"/>
  <c r="H24" i="1"/>
  <c r="H22" i="1"/>
  <c r="H13" i="1"/>
  <c r="H12" i="1"/>
  <c r="H472" i="1"/>
  <c r="H468" i="1"/>
  <c r="J595" i="1"/>
  <c r="J597" i="1"/>
  <c r="H597" i="1"/>
  <c r="H595" i="1"/>
  <c r="J591" i="1"/>
  <c r="H591" i="1"/>
  <c r="H102" i="1" l="1"/>
  <c r="J96" i="1" l="1"/>
  <c r="I96" i="1"/>
  <c r="I48" i="1"/>
  <c r="I9" i="1"/>
  <c r="G439" i="1"/>
  <c r="H396" i="1"/>
  <c r="H155" i="1"/>
  <c r="H154" i="1"/>
  <c r="G158" i="1"/>
  <c r="G97" i="1"/>
  <c r="F101" i="1"/>
  <c r="H48" i="1"/>
  <c r="F29" i="1" l="1"/>
  <c r="F9" i="1"/>
  <c r="J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11" i="1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C18" i="10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C10" i="10" s="1"/>
  <c r="L315" i="1"/>
  <c r="L316" i="1"/>
  <c r="L317" i="1"/>
  <c r="L319" i="1"/>
  <c r="L320" i="1"/>
  <c r="L321" i="1"/>
  <c r="L322" i="1"/>
  <c r="L328" i="1" s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7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1" i="2" s="1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F571" i="1" s="1"/>
  <c r="G565" i="1"/>
  <c r="H565" i="1"/>
  <c r="H571" i="1" s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2" i="1"/>
  <c r="H642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C26" i="10"/>
  <c r="C70" i="2"/>
  <c r="D12" i="13"/>
  <c r="C12" i="13" s="1"/>
  <c r="D62" i="2"/>
  <c r="D63" i="2" s="1"/>
  <c r="D18" i="13"/>
  <c r="C18" i="13" s="1"/>
  <c r="D17" i="13"/>
  <c r="C17" i="13" s="1"/>
  <c r="E8" i="13"/>
  <c r="C8" i="13" s="1"/>
  <c r="F78" i="2"/>
  <c r="F81" i="2" s="1"/>
  <c r="D31" i="2"/>
  <c r="D50" i="2"/>
  <c r="G157" i="2"/>
  <c r="G161" i="2"/>
  <c r="G156" i="2"/>
  <c r="E103" i="2"/>
  <c r="D91" i="2"/>
  <c r="E31" i="2"/>
  <c r="D29" i="13"/>
  <c r="C29" i="13" s="1"/>
  <c r="D19" i="13"/>
  <c r="C19" i="13" s="1"/>
  <c r="D14" i="13"/>
  <c r="C14" i="13" s="1"/>
  <c r="E78" i="2"/>
  <c r="E81" i="2" s="1"/>
  <c r="L427" i="1"/>
  <c r="J257" i="1"/>
  <c r="J271" i="1" s="1"/>
  <c r="H112" i="1"/>
  <c r="F112" i="1"/>
  <c r="J641" i="1"/>
  <c r="J639" i="1"/>
  <c r="J571" i="1"/>
  <c r="K571" i="1"/>
  <c r="L433" i="1"/>
  <c r="L419" i="1"/>
  <c r="I169" i="1"/>
  <c r="H169" i="1"/>
  <c r="J643" i="1"/>
  <c r="F476" i="1"/>
  <c r="H622" i="1" s="1"/>
  <c r="G476" i="1"/>
  <c r="H623" i="1" s="1"/>
  <c r="J623" i="1" s="1"/>
  <c r="F169" i="1"/>
  <c r="J140" i="1"/>
  <c r="G22" i="2"/>
  <c r="K545" i="1"/>
  <c r="C29" i="10"/>
  <c r="H140" i="1"/>
  <c r="L393" i="1"/>
  <c r="F22" i="13"/>
  <c r="C22" i="13" s="1"/>
  <c r="H25" i="13"/>
  <c r="C25" i="13" s="1"/>
  <c r="L560" i="1"/>
  <c r="J545" i="1"/>
  <c r="F338" i="1"/>
  <c r="F352" i="1" s="1"/>
  <c r="G192" i="1"/>
  <c r="H192" i="1"/>
  <c r="F552" i="1"/>
  <c r="C35" i="10"/>
  <c r="L309" i="1"/>
  <c r="D5" i="13"/>
  <c r="C5" i="13" s="1"/>
  <c r="E16" i="13"/>
  <c r="L570" i="1"/>
  <c r="J636" i="1"/>
  <c r="G36" i="2"/>
  <c r="C138" i="2"/>
  <c r="H33" i="13"/>
  <c r="K551" i="1" l="1"/>
  <c r="L544" i="1"/>
  <c r="K550" i="1"/>
  <c r="K549" i="1"/>
  <c r="L539" i="1"/>
  <c r="H552" i="1"/>
  <c r="L534" i="1"/>
  <c r="H545" i="1"/>
  <c r="A40" i="12"/>
  <c r="A13" i="12"/>
  <c r="J634" i="1"/>
  <c r="H661" i="1"/>
  <c r="I661" i="1"/>
  <c r="L362" i="1"/>
  <c r="D145" i="2"/>
  <c r="G552" i="1"/>
  <c r="K338" i="1"/>
  <c r="H662" i="1"/>
  <c r="J338" i="1"/>
  <c r="J352" i="1" s="1"/>
  <c r="E109" i="2"/>
  <c r="E112" i="2"/>
  <c r="E115" i="2" s="1"/>
  <c r="C11" i="10"/>
  <c r="H338" i="1"/>
  <c r="H352" i="1" s="1"/>
  <c r="E121" i="2"/>
  <c r="E128" i="2" s="1"/>
  <c r="L290" i="1"/>
  <c r="C12" i="10"/>
  <c r="C13" i="10"/>
  <c r="L529" i="1"/>
  <c r="I545" i="1"/>
  <c r="K598" i="1"/>
  <c r="G647" i="1" s="1"/>
  <c r="J647" i="1" s="1"/>
  <c r="J651" i="1"/>
  <c r="K352" i="1"/>
  <c r="K257" i="1"/>
  <c r="K271" i="1" s="1"/>
  <c r="D15" i="13"/>
  <c r="C15" i="13" s="1"/>
  <c r="C124" i="2"/>
  <c r="C118" i="2"/>
  <c r="C128" i="2" s="1"/>
  <c r="F662" i="1"/>
  <c r="I662" i="1" s="1"/>
  <c r="C21" i="10"/>
  <c r="C16" i="10"/>
  <c r="D6" i="13"/>
  <c r="C6" i="13" s="1"/>
  <c r="E13" i="13"/>
  <c r="C13" i="13" s="1"/>
  <c r="F660" i="1"/>
  <c r="G649" i="1"/>
  <c r="J649" i="1" s="1"/>
  <c r="C15" i="10"/>
  <c r="C19" i="10"/>
  <c r="C16" i="13"/>
  <c r="D7" i="13"/>
  <c r="C7" i="13" s="1"/>
  <c r="C111" i="2"/>
  <c r="C115" i="2" s="1"/>
  <c r="L247" i="1"/>
  <c r="H660" i="1" s="1"/>
  <c r="J644" i="1"/>
  <c r="J645" i="1"/>
  <c r="J625" i="1"/>
  <c r="I52" i="1"/>
  <c r="H620" i="1" s="1"/>
  <c r="J620" i="1" s="1"/>
  <c r="F18" i="2"/>
  <c r="J640" i="1"/>
  <c r="L401" i="1"/>
  <c r="C139" i="2" s="1"/>
  <c r="C62" i="2"/>
  <c r="C63" i="2" s="1"/>
  <c r="C81" i="2"/>
  <c r="H476" i="1"/>
  <c r="H624" i="1" s="1"/>
  <c r="J624" i="1" s="1"/>
  <c r="H52" i="1"/>
  <c r="H619" i="1" s="1"/>
  <c r="J619" i="1" s="1"/>
  <c r="D18" i="2"/>
  <c r="J622" i="1"/>
  <c r="J617" i="1"/>
  <c r="C18" i="2"/>
  <c r="J476" i="1"/>
  <c r="H626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J642" i="1"/>
  <c r="G571" i="1"/>
  <c r="I434" i="1"/>
  <c r="G434" i="1"/>
  <c r="I663" i="1"/>
  <c r="C27" i="10"/>
  <c r="G635" i="1"/>
  <c r="J635" i="1" s="1"/>
  <c r="K552" i="1" l="1"/>
  <c r="L545" i="1"/>
  <c r="G51" i="2"/>
  <c r="G672" i="1"/>
  <c r="C5" i="10" s="1"/>
  <c r="E145" i="2"/>
  <c r="F664" i="1"/>
  <c r="F667" i="1" s="1"/>
  <c r="D31" i="13"/>
  <c r="C31" i="13" s="1"/>
  <c r="C28" i="10"/>
  <c r="D24" i="10" s="1"/>
  <c r="E33" i="13"/>
  <c r="D35" i="13" s="1"/>
  <c r="H664" i="1"/>
  <c r="I660" i="1"/>
  <c r="I664" i="1" s="1"/>
  <c r="I672" i="1" s="1"/>
  <c r="C7" i="10" s="1"/>
  <c r="L257" i="1"/>
  <c r="L271" i="1" s="1"/>
  <c r="G632" i="1" s="1"/>
  <c r="J632" i="1" s="1"/>
  <c r="G104" i="2"/>
  <c r="F104" i="2"/>
  <c r="F51" i="2"/>
  <c r="C141" i="2"/>
  <c r="C144" i="2" s="1"/>
  <c r="C145" i="2" s="1"/>
  <c r="L408" i="1"/>
  <c r="G637" i="1" s="1"/>
  <c r="J637" i="1" s="1"/>
  <c r="H646" i="1"/>
  <c r="J646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3" i="10" l="1"/>
  <c r="D33" i="13"/>
  <c r="D36" i="13" s="1"/>
  <c r="F672" i="1"/>
  <c r="C4" i="10" s="1"/>
  <c r="D10" i="10"/>
  <c r="C30" i="10"/>
  <c r="D20" i="10"/>
  <c r="D25" i="10"/>
  <c r="D26" i="10"/>
  <c r="D16" i="10"/>
  <c r="D15" i="10"/>
  <c r="D19" i="10"/>
  <c r="D13" i="10"/>
  <c r="D11" i="10"/>
  <c r="D21" i="10"/>
  <c r="D22" i="10"/>
  <c r="D27" i="10"/>
  <c r="D18" i="10"/>
  <c r="D17" i="10"/>
  <c r="D12" i="10"/>
  <c r="H667" i="1"/>
  <c r="H672" i="1"/>
  <c r="C6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<sst xmlns="http://schemas.openxmlformats.org/spreadsheetml/2006/main" count="3959" uniqueCount="916">
  <si>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</si>
  <si>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</si>
  <si>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</si>
  <si>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</si>
  <si>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</si>
  <si>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</si>
  <si>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</si>
  <si>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</si>
  <si>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</si>
  <si>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</si>
  <si>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</si>
  <si>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</si>
  <si>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</si>
  <si>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</si>
  <si>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</si>
  <si>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</si>
  <si>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</si>
  <si>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</si>
  <si>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</si>
  <si>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</si>
  <si>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</si>
  <si>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</si>
  <si>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</si>
  <si>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</si>
  <si>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</si>
  <si>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</si>
  <si>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</si>
  <si>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</si>
  <si>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</si>
  <si>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</si>
  <si>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</si>
  <si>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</si>
  <si>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</si>
  <si>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</si>
  <si>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</si>
  <si>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</si>
  <si>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</si>
  <si>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</si>
  <si>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</si>
  <si>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</si>
  <si>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</si>
  <si>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</si>
  <si>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</si>
  <si>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</si>
  <si>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</si>
  <si>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</si>
  <si>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</si>
  <si>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</si>
  <si>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</si>
  <si>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</si>
  <si>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</si>
  <si>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</si>
  <si>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</si>
  <si>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</si>
  <si>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</si>
  <si>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</si>
  <si>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</si>
  <si>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</si>
  <si>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</si>
  <si>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</si>
  <si>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</si>
  <si>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</si>
  <si>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</si>
  <si>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</si>
  <si>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</si>
  <si>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</si>
  <si>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</si>
  <si>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</si>
  <si>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</si>
  <si>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</si>
  <si>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</si>
  <si>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</si>
  <si>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</si>
  <si>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</si>
  <si>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</si>
  <si>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</si>
  <si>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</si>
  <si>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</si>
  <si>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</si>
  <si>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</si>
  <si>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</si>
  <si>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</si>
  <si>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</si>
  <si>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</si>
  <si>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</si>
  <si>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</si>
  <si>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</si>
  <si>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</si>
  <si>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</si>
  <si>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</si>
  <si>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</si>
  <si>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</si>
  <si>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</si>
  <si>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</si>
  <si>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</si>
  <si>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</si>
  <si>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</si>
  <si>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</si>
  <si>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</si>
  <si>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</si>
  <si>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</si>
  <si>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</si>
  <si>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</si>
  <si>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</si>
  <si>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</si>
  <si>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</si>
  <si>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</si>
  <si>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</si>
  <si>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</si>
  <si>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</si>
  <si>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</si>
  <si>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</si>
  <si>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</si>
  <si>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</si>
  <si>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</si>
  <si>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</si>
  <si>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</si>
  <si>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</si>
  <si>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</si>
  <si>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</si>
  <si>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</si>
  <si>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</si>
  <si>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</si>
  <si>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</si>
  <si>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</si>
  <si>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</si>
  <si>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</si>
  <si>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</si>
  <si>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</si>
  <si>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</si>
  <si>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</si>
  <si>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</si>
  <si>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</si>
  <si>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</si>
  <si>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</si>
  <si>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</si>
  <si>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</si>
  <si>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</si>
  <si>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</si>
  <si>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</si>
  <si>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</si>
  <si>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</si>
  <si>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</si>
  <si>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</si>
  <si>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</si>
  <si>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</si>
  <si>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</si>
  <si>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</si>
  <si>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</si>
  <si>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</si>
  <si>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</si>
  <si>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</si>
  <si>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</si>
  <si>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</si>
  <si>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</si>
  <si>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</si>
  <si>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</si>
  <si>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</si>
  <si>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</si>
  <si>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</si>
  <si>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</si>
  <si>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</si>
  <si>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</si>
  <si>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</si>
  <si>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</si>
  <si>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</si>
  <si>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</si>
  <si>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</si>
  <si>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</si>
  <si>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</si>
  <si>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</si>
  <si>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</si>
  <si>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</si>
  <si>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</si>
  <si>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</si>
  <si>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</si>
  <si>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</si>
  <si>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</si>
  <si>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</si>
  <si>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</si>
  <si>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</si>
  <si>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</si>
  <si>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</si>
  <si>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</si>
  <si>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</si>
  <si>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</si>
  <si>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</si>
  <si>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</si>
  <si>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</si>
  <si>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</si>
  <si>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</si>
  <si>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</si>
  <si>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</si>
  <si>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</si>
  <si>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</si>
  <si>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</si>
  <si>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</si>
  <si>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</si>
  <si>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</si>
  <si>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</si>
  <si>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</si>
  <si>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</si>
  <si>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</si>
  <si>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</si>
  <si>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</si>
  <si>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</si>
  <si>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</si>
  <si>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</si>
  <si>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</si>
  <si>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</si>
  <si>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</si>
  <si>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</si>
  <si>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</si>
  <si>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</si>
  <si>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</si>
  <si>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</si>
  <si>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</si>
  <si>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</si>
  <si>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</si>
  <si>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</si>
  <si>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</si>
  <si>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</si>
  <si>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</si>
  <si>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</si>
  <si>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</si>
  <si>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</si>
  <si>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</si>
  <si>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</si>
  <si>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</si>
  <si>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</si>
  <si>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</si>
  <si>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</si>
  <si>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</si>
  <si>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</si>
  <si>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</si>
  <si>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</si>
  <si>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</si>
  <si>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</si>
  <si>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</si>
  <si>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</si>
  <si>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</si>
  <si>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</si>
  <si>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</si>
  <si>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</si>
  <si>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</si>
  <si>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</si>
  <si>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</si>
  <si>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</si>
  <si>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</si>
  <si>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</si>
  <si>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</si>
  <si>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</si>
  <si>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</si>
  <si>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</si>
  <si>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</si>
  <si>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</si>
  <si>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</si>
  <si>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</si>
  <si>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</si>
  <si>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</si>
  <si>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</si>
  <si>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</si>
  <si>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</si>
  <si>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</si>
  <si>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</si>
  <si>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</si>
  <si>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</si>
  <si>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</si>
  <si>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</si>
  <si>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</si>
  <si>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</si>
  <si>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</si>
  <si>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</si>
  <si>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</si>
  <si>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</si>
  <si>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</si>
  <si>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</si>
  <si>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</si>
  <si>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</si>
  <si>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</si>
  <si>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</si>
  <si>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</si>
  <si>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</si>
  <si>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</si>
  <si>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</si>
  <si>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</si>
  <si>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</si>
  <si>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</si>
  <si>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</si>
  <si>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</si>
  <si>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</si>
  <si>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</si>
  <si>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</si>
  <si>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</si>
  <si>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</si>
  <si>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</si>
  <si>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</si>
  <si>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</si>
  <si>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</si>
  <si>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</si>
  <si>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</si>
  <si>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</si>
  <si>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</si>
  <si>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</si>
  <si>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</si>
  <si>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</si>
  <si>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</si>
  <si>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</si>
  <si>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</si>
  <si>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</si>
  <si>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</si>
  <si>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</si>
  <si>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</si>
  <si>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</si>
  <si>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</si>
  <si>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</si>
  <si>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</si>
  <si>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</si>
  <si>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</si>
  <si>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</si>
  <si>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</si>
  <si>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</si>
  <si>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</si>
  <si>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</si>
  <si>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</si>
  <si>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</si>
  <si>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</si>
  <si>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</si>
  <si>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</si>
  <si>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</si>
  <si>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</si>
  <si>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</si>
  <si>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</si>
  <si>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</si>
  <si>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</si>
  <si>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</si>
  <si>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</si>
  <si>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</si>
  <si>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</si>
  <si>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</si>
  <si>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</si>
  <si>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</si>
  <si>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</si>
  <si>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</si>
  <si>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</si>
  <si>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</si>
  <si>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</si>
  <si>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</si>
  <si>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</si>
  <si>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</si>
  <si>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</si>
  <si>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</si>
  <si>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</si>
  <si>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</si>
  <si>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</si>
  <si>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</si>
  <si>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</si>
  <si>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</si>
  <si>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</si>
  <si>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</si>
  <si>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</si>
  <si>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</si>
  <si>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</si>
  <si>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</si>
  <si>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</si>
  <si>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</si>
  <si>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</si>
  <si>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</si>
  <si>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</si>
  <si>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</si>
  <si>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</si>
  <si>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</si>
  <si>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</si>
  <si>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</si>
  <si>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</si>
  <si>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</si>
  <si>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</si>
  <si>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</si>
  <si>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</si>
  <si>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</si>
  <si>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</si>
  <si>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</si>
  <si>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</si>
  <si>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</si>
  <si>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</si>
  <si>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</si>
  <si>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</si>
  <si>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</si>
  <si>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</si>
  <si>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</si>
  <si>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</si>
  <si>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</si>
  <si>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</si>
  <si>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</si>
  <si>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</si>
  <si>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</si>
  <si>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</si>
  <si>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</si>
  <si>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</si>
  <si>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</si>
  <si>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</si>
  <si>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</si>
  <si>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</si>
  <si>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</si>
  <si>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</si>
  <si>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</si>
  <si>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</si>
  <si>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</si>
  <si>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</si>
  <si>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</si>
  <si>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</si>
  <si>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</si>
  <si>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</si>
  <si>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</si>
  <si>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</si>
  <si>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</si>
  <si>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</si>
  <si>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</si>
  <si>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</si>
  <si>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</si>
  <si>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</si>
  <si>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</si>
  <si>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</si>
  <si>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</si>
  <si>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</si>
  <si>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</si>
  <si>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</si>
  <si>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</si>
  <si>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</si>
  <si>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</si>
  <si>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</si>
  <si>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</si>
  <si>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</si>
  <si>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</si>
  <si>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</si>
  <si>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</si>
  <si>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</si>
  <si>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</si>
  <si>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</si>
  <si>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</si>
  <si>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</si>
  <si>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</si>
  <si>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</si>
  <si>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</si>
  <si>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</si>
  <si>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</si>
  <si>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</si>
  <si>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</si>
  <si>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</si>
  <si>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</si>
  <si>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</si>
  <si>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</si>
  <si>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</si>
  <si>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</si>
  <si>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</si>
  <si>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</si>
  <si>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</si>
  <si>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</si>
  <si>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</si>
  <si>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</si>
  <si>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</si>
  <si>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</si>
  <si>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</si>
  <si>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</si>
  <si>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</si>
  <si>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</si>
  <si>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</si>
  <si>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</si>
  <si>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</si>
  <si>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</si>
  <si>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</si>
  <si>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</si>
  <si>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</si>
  <si>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</si>
  <si>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</si>
  <si>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</si>
  <si>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</si>
  <si>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</si>
  <si>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</si>
  <si>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</si>
  <si>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</si>
  <si>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</si>
  <si>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</si>
  <si>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</si>
  <si>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</si>
  <si>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</si>
  <si>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</si>
  <si>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</si>
  <si>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</si>
  <si>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</si>
  <si>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</si>
  <si>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</si>
  <si>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</si>
  <si>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</si>
  <si>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</si>
  <si>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</si>
  <si>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</si>
  <si>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</si>
  <si>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</si>
  <si>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</si>
  <si>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</si>
  <si>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</si>
  <si>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</si>
  <si>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</si>
  <si>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</si>
  <si>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</si>
  <si>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</si>
  <si>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</si>
  <si>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</si>
  <si>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</si>
  <si>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</si>
  <si>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</si>
  <si>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</si>
  <si>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</si>
  <si>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</si>
  <si>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</si>
  <si>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</si>
  <si>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</si>
  <si>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</si>
  <si>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</si>
  <si>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</si>
  <si>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</si>
  <si>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</si>
  <si>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</si>
  <si>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</si>
  <si>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</si>
  <si>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</si>
  <si>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</si>
  <si>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</si>
  <si>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</si>
  <si>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</si>
  <si>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</si>
  <si>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</si>
  <si>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</si>
  <si>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</si>
  <si>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</si>
  <si>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</si>
  <si>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</si>
  <si>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</si>
  <si>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</si>
  <si>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</si>
  <si>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</si>
  <si>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</si>
  <si>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</si>
  <si>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</si>
  <si>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</si>
  <si>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</si>
  <si>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</si>
  <si>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</si>
  <si>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</si>
  <si>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</si>
  <si>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</si>
  <si>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</si>
  <si>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</si>
  <si>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</si>
  <si>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</si>
  <si>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</si>
  <si>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</si>
  <si>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</si>
  <si>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</si>
  <si>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</si>
  <si>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</si>
  <si>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</si>
  <si>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</si>
  <si>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</si>
  <si>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</si>
  <si>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</si>
  <si>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</si>
  <si>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</si>
  <si>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</si>
  <si>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</si>
  <si>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</si>
  <si>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</si>
  <si>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</si>
  <si>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</si>
  <si>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</si>
  <si>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</si>
  <si>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</si>
  <si>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</si>
  <si>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</si>
  <si>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</si>
  <si>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</si>
  <si>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</si>
  <si>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</si>
  <si>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</si>
  <si>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</si>
  <si>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</si>
  <si>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</si>
  <si>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</si>
  <si>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</si>
  <si>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</si>
  <si>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</si>
  <si>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</si>
  <si>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</si>
  <si>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</si>
  <si>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</si>
  <si>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</si>
  <si>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</si>
  <si>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</si>
  <si>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</si>
  <si>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</si>
  <si>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</si>
  <si>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</si>
  <si>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</si>
  <si>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</si>
  <si>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</si>
  <si>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</si>
  <si>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</si>
  <si>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</si>
  <si>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</si>
  <si>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</si>
  <si>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</si>
  <si>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</si>
  <si>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</si>
  <si>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</si>
  <si>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</si>
  <si>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</si>
  <si>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</si>
  <si>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</si>
  <si>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</si>
  <si>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</si>
  <si>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</si>
  <si>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</si>
  <si>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</si>
  <si>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</si>
  <si>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</si>
  <si>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</si>
  <si>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</si>
  <si>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</si>
  <si>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</si>
  <si>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</si>
  <si>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</si>
  <si>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</si>
  <si>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</si>
  <si>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</si>
  <si>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</si>
  <si>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</si>
  <si>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</si>
  <si>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</si>
  <si>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</si>
  <si>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</si>
  <si>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</si>
  <si>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</si>
  <si>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</si>
  <si>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</si>
  <si>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</si>
  <si>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</si>
  <si>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</si>
  <si>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</si>
  <si>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</si>
  <si>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</si>
  <si>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</si>
  <si>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</si>
  <si>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</si>
  <si>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</si>
  <si>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</si>
  <si>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</si>
  <si>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</si>
  <si>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</si>
  <si>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</si>
  <si>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</si>
  <si>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</si>
  <si>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</si>
  <si>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</si>
  <si>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</si>
  <si>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</si>
  <si>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</si>
  <si>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</si>
  <si>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</si>
  <si>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</si>
  <si>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</si>
  <si>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</si>
  <si>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</si>
  <si>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</si>
  <si>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</si>
  <si>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</si>
  <si>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</si>
  <si>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</si>
  <si>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</si>
  <si>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</si>
  <si>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</si>
  <si>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</si>
  <si>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</si>
  <si>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</si>
  <si>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</si>
  <si>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</si>
  <si>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</si>
  <si>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</si>
  <si>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</si>
  <si>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</si>
  <si>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</si>
  <si>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</si>
  <si>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</si>
  <si>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</si>
  <si>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</si>
  <si>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</si>
  <si>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</si>
  <si>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</si>
  <si>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</si>
  <si>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</si>
  <si>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</si>
  <si>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</si>
  <si>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</si>
  <si>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</si>
  <si>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</si>
  <si>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</si>
  <si>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</si>
  <si>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</si>
  <si>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</si>
  <si>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</si>
  <si>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</si>
  <si>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</si>
  <si>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</si>
  <si>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</si>
  <si>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</si>
  <si>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</si>
  <si>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</si>
  <si>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</si>
  <si>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</si>
  <si>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</si>
  <si>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</si>
  <si>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</si>
  <si>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</si>
  <si>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</si>
  <si>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</si>
  <si>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</si>
  <si>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</si>
  <si>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</si>
  <si>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</si>
  <si>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</si>
  <si>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</si>
  <si>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</si>
  <si>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</si>
  <si>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</si>
  <si>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</si>
  <si>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</si>
  <si>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</si>
  <si>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</si>
  <si>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</si>
  <si>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</si>
  <si>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</si>
  <si>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</si>
  <si>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</si>
  <si>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</si>
  <si>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</si>
  <si>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</si>
  <si>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</si>
  <si>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</si>
  <si>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</si>
  <si>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</si>
  <si>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</si>
  <si>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</si>
  <si>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</si>
  <si>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</si>
  <si>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</si>
  <si>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</si>
  <si>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</si>
  <si>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</si>
  <si>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</si>
  <si>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</si>
  <si>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</si>
  <si>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</si>
  <si>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</si>
  <si>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</si>
  <si>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</si>
  <si>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</si>
  <si>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</si>
  <si>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</si>
  <si>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</si>
  <si>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</si>
  <si>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</si>
  <si>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</si>
  <si>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</si>
  <si>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</si>
  <si>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</si>
  <si>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</si>
  <si>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</si>
  <si>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</si>
  <si>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</si>
  <si>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</si>
  <si>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</si>
  <si>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</si>
  <si>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</si>
  <si>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</si>
  <si>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</si>
  <si>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</si>
  <si>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</si>
  <si>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</si>
  <si>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</si>
  <si>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</si>
  <si>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</si>
  <si>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</si>
  <si>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</si>
  <si>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</si>
  <si>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</si>
  <si>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</si>
  <si>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</si>
  <si>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</si>
  <si>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</si>
  <si>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</si>
  <si>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</si>
  <si>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</si>
  <si>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</si>
  <si>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</si>
  <si>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</si>
  <si>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</si>
  <si>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</si>
  <si>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</si>
  <si>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</si>
  <si>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</si>
  <si>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</si>
  <si>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</si>
  <si>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</si>
  <si>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</si>
  <si>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</si>
  <si>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</si>
  <si>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</si>
  <si>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</si>
  <si>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</si>
  <si>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</si>
  <si>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</si>
  <si>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</si>
  <si>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</si>
  <si>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</si>
  <si>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</si>
  <si>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</si>
  <si>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</si>
  <si>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</si>
  <si>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</si>
  <si>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</si>
  <si>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</si>
  <si>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</si>
  <si>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</si>
  <si>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</si>
  <si>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</si>
  <si>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</si>
  <si>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</si>
  <si>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</si>
  <si>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</si>
  <si>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</si>
  <si>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</si>
  <si>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</si>
  <si>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</si>
  <si>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</si>
  <si>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</si>
  <si>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</si>
  <si>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</si>
  <si>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</si>
  <si>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</si>
  <si>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</si>
  <si>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</si>
  <si>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</si>
  <si>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</si>
  <si>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</si>
  <si>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</si>
  <si>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</si>
  <si>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</si>
  <si>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</si>
  <si>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</si>
  <si>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</si>
  <si>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</si>
  <si>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</si>
  <si>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</si>
  <si>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</si>
  <si>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</si>
  <si>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</si>
  <si>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</si>
  <si>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</si>
  <si>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</si>
  <si>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</si>
  <si>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</si>
  <si>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</si>
  <si>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</si>
  <si>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</si>
  <si>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</si>
  <si>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</si>
  <si>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</si>
  <si>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</si>
  <si>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</si>
  <si>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</si>
  <si>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</si>
  <si>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</si>
  <si>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</si>
  <si>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</si>
  <si>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</si>
  <si>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</si>
  <si>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</si>
  <si>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</si>
  <si>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</si>
  <si>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</si>
  <si>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</si>
  <si>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</si>
  <si>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</si>
  <si>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</si>
  <si>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</si>
  <si>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</si>
  <si>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</si>
  <si>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</si>
  <si>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</si>
  <si>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</si>
  <si>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</si>
  <si>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</si>
  <si>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</si>
  <si>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</si>
  <si>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</si>
  <si>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</si>
  <si>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</si>
  <si>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</si>
  <si>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</si>
  <si>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</si>
  <si>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</si>
  <si>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Inter-Lakes School District</t>
  </si>
  <si>
    <t>Audit Correction Title 1 Revenue Project 40068</t>
  </si>
  <si>
    <t>Retirees District Paid Health and Dental</t>
  </si>
  <si>
    <t>Elementary School Greenhouse Construction paid by donations</t>
  </si>
  <si>
    <t>Town overpayments of Assessments to be applied in FY16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</si>
</sst>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I667" sqref="I66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269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1020386.31+2800</f>
        <v>1023186.31</v>
      </c>
      <c r="G9" s="18"/>
      <c r="H9" s="18"/>
      <c r="I9" s="18">
        <f>3231.11+2468795.32</f>
        <v>2472026.4299999997</v>
      </c>
      <c r="J9" s="67">
        <f>SUM(I439)</f>
        <v>581345.82999999996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6847761.0899999999</v>
      </c>
      <c r="G12" s="18">
        <v>3247298.72</v>
      </c>
      <c r="H12" s="18">
        <f>2588557.06+376679.26+107987.48+256294.05</f>
        <v>3329517.85</v>
      </c>
      <c r="I12" s="18">
        <v>22.38</v>
      </c>
      <c r="J12" s="67">
        <f>SUM(I441)</f>
        <v>25000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-456864.84</v>
      </c>
      <c r="G13" s="18">
        <v>18700.78</v>
      </c>
      <c r="H13" s="18">
        <f>16717.01-99.66</f>
        <v>16617.349999999999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3317.23</v>
      </c>
      <c r="G14" s="18">
        <v>-5527.39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92143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7509542.790000001</v>
      </c>
      <c r="G19" s="41">
        <f>SUM(G9:G18)</f>
        <v>3260472.11</v>
      </c>
      <c r="H19" s="41">
        <f>SUM(H9:H18)</f>
        <v>3346135.2</v>
      </c>
      <c r="I19" s="41">
        <f>SUM(I9:I18)</f>
        <v>2472048.8099999996</v>
      </c>
      <c r="J19" s="41">
        <f>SUM(J9:J18)</f>
        <v>606345.82999999996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6722049.2300000004</v>
      </c>
      <c r="G22" s="18">
        <v>3241687.88</v>
      </c>
      <c r="H22" s="18">
        <f>2602238.23+376024.29+91087.03+251466.2</f>
        <v>3320815.75</v>
      </c>
      <c r="I22" s="18">
        <v>22.38</v>
      </c>
      <c r="J22" s="67">
        <f>SUM(I448)</f>
        <v>25000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239373.49</v>
      </c>
      <c r="G24" s="18">
        <v>3658.6</v>
      </c>
      <c r="H24" s="18">
        <f>1041.9-180</f>
        <v>861.90000000000009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-1928.11-63.92+7708.11</f>
        <v>5716.08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-165.72</v>
      </c>
      <c r="H30" s="18">
        <v>555.30999999999995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6967138.8000000007</v>
      </c>
      <c r="G32" s="41">
        <f>SUM(G22:G31)</f>
        <v>3245180.76</v>
      </c>
      <c r="H32" s="41">
        <f>SUM(H22:H31)</f>
        <v>3322232.96</v>
      </c>
      <c r="I32" s="41">
        <f>SUM(I22:I31)</f>
        <v>22.38</v>
      </c>
      <c r="J32" s="41">
        <f>SUM(J22:J31)</f>
        <v>25000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15291.35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1993.94+17080.45+4827.85</f>
        <v>23902.239999999998</v>
      </c>
      <c r="I48" s="18">
        <f>3231.11+2468795.32</f>
        <v>2472026.4299999997</v>
      </c>
      <c r="J48" s="13">
        <f>SUM(I459)</f>
        <v>581345.82999999996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215077.88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252326.11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542403.99</v>
      </c>
      <c r="G51" s="41">
        <f>SUM(G35:G50)</f>
        <v>15291.35</v>
      </c>
      <c r="H51" s="41">
        <f>SUM(H35:H50)</f>
        <v>23902.239999999998</v>
      </c>
      <c r="I51" s="41">
        <f>SUM(I35:I50)</f>
        <v>2472026.4299999997</v>
      </c>
      <c r="J51" s="41">
        <f>SUM(J35:J50)</f>
        <v>581345.82999999996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7509542.790000001</v>
      </c>
      <c r="G52" s="41">
        <f>G51+G32</f>
        <v>3260472.11</v>
      </c>
      <c r="H52" s="41">
        <f>H51+H32</f>
        <v>3346135.2</v>
      </c>
      <c r="I52" s="41">
        <f>I51+I32</f>
        <v>2472048.8099999996</v>
      </c>
      <c r="J52" s="41">
        <f>J51+J32</f>
        <v>606345.82999999996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13853847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13853847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39387.35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39387.35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2035.51</v>
      </c>
      <c r="G96" s="18"/>
      <c r="H96" s="18"/>
      <c r="I96" s="18">
        <f>178.28</f>
        <v>178.28</v>
      </c>
      <c r="J96" s="18">
        <f>7.53+15.06+34.99+0.2</f>
        <v>57.78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202069.4+2871.73+543</f>
        <v>205484.13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2002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13290.65+15245</f>
        <v>28535.65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5500+20315.7+4035.99+3220+20000</f>
        <v>53071.69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700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589.29999999999995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8086.96</v>
      </c>
      <c r="G110" s="18"/>
      <c r="H110" s="18">
        <v>58914.35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41949.420000000006</v>
      </c>
      <c r="G111" s="41">
        <f>SUM(G96:G110)</f>
        <v>205484.13</v>
      </c>
      <c r="H111" s="41">
        <f>SUM(H96:H110)</f>
        <v>111986.04000000001</v>
      </c>
      <c r="I111" s="41">
        <f>SUM(I96:I110)</f>
        <v>178.28</v>
      </c>
      <c r="J111" s="41">
        <f>SUM(J96:J110)</f>
        <v>57.78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13935183.77</v>
      </c>
      <c r="G112" s="41">
        <f>G60+G111</f>
        <v>205484.13</v>
      </c>
      <c r="H112" s="41">
        <f>H60+H79+H94+H111</f>
        <v>111986.04000000001</v>
      </c>
      <c r="I112" s="41">
        <f>I60+I111</f>
        <v>178.28</v>
      </c>
      <c r="J112" s="41">
        <f>J60+J111</f>
        <v>57.78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248981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6679055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6928036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65834.28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24872.51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14028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6172.63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104734.79</v>
      </c>
      <c r="G136" s="41">
        <f>SUM(G123:G135)</f>
        <v>6172.63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7032770.79</v>
      </c>
      <c r="G140" s="41">
        <f>G121+SUM(G136:G137)</f>
        <v>6172.63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2024.6+215563.45</f>
        <v>217588.05000000002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47918.52+16683.89</f>
        <v>64602.409999999996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203431.83+31453.24</f>
        <v>234885.06999999998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154253.29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43529.19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197782.48</v>
      </c>
      <c r="G162" s="41">
        <f>SUM(G150:G161)</f>
        <v>234885.06999999998</v>
      </c>
      <c r="H162" s="41">
        <f>SUM(H150:H161)</f>
        <v>282190.46000000002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9213.5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206995.98</v>
      </c>
      <c r="G169" s="41">
        <f>G147+G162+SUM(G163:G168)</f>
        <v>234885.06999999998</v>
      </c>
      <c r="H169" s="41">
        <f>H147+H162+SUM(H163:H168)</f>
        <v>282190.46000000002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2468617.04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2468617.04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5783.5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5783.5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5783.5</v>
      </c>
      <c r="G192" s="41">
        <f>G183+SUM(G188:G191)</f>
        <v>0</v>
      </c>
      <c r="H192" s="41">
        <f>+H183+SUM(H188:H191)</f>
        <v>0</v>
      </c>
      <c r="I192" s="41">
        <f>I177+I183+SUM(I188:I191)</f>
        <v>2468617.04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21180734.039999999</v>
      </c>
      <c r="G193" s="47">
        <f>G112+G140+G169+G192</f>
        <v>446541.82999999996</v>
      </c>
      <c r="H193" s="47">
        <f>H112+H140+H169+H192</f>
        <v>394176.5</v>
      </c>
      <c r="I193" s="47">
        <f>I112+I140+I169+I192</f>
        <v>2468795.3199999998</v>
      </c>
      <c r="J193" s="47">
        <f>J112+J140+J192</f>
        <v>75057.78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3780547.1890000002</v>
      </c>
      <c r="G197" s="18">
        <v>1622750.2110000001</v>
      </c>
      <c r="H197" s="18">
        <v>57327.07</v>
      </c>
      <c r="I197" s="18">
        <v>83916.66</v>
      </c>
      <c r="J197" s="18">
        <v>17838.29</v>
      </c>
      <c r="K197" s="18">
        <v>168</v>
      </c>
      <c r="L197" s="19">
        <f>SUM(F197:K197)</f>
        <v>5562547.4200000009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1574047.176</v>
      </c>
      <c r="G198" s="18">
        <v>735813.80949999997</v>
      </c>
      <c r="H198" s="18">
        <v>146402.24599999998</v>
      </c>
      <c r="I198" s="18">
        <v>4205.4800000000005</v>
      </c>
      <c r="J198" s="18">
        <v>1131.6500000000001</v>
      </c>
      <c r="K198" s="18">
        <v>0</v>
      </c>
      <c r="L198" s="19">
        <f>SUM(F198:K198)</f>
        <v>2461600.3614999996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93066.5</v>
      </c>
      <c r="G200" s="18">
        <v>15490.82</v>
      </c>
      <c r="H200" s="18">
        <v>4670.8100000000004</v>
      </c>
      <c r="I200" s="18">
        <v>5127.32</v>
      </c>
      <c r="J200" s="18">
        <v>0</v>
      </c>
      <c r="K200" s="18">
        <v>1830</v>
      </c>
      <c r="L200" s="19">
        <f>SUM(F200:K200)</f>
        <v>120185.45000000001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563631.10950000002</v>
      </c>
      <c r="G202" s="18">
        <v>311772.18849999999</v>
      </c>
      <c r="H202" s="18">
        <v>99480.856</v>
      </c>
      <c r="I202" s="18">
        <v>5781.2475000000004</v>
      </c>
      <c r="J202" s="18">
        <v>1153.5809999999999</v>
      </c>
      <c r="K202" s="18">
        <v>161.25</v>
      </c>
      <c r="L202" s="19">
        <f t="shared" ref="L202:L208" si="0">SUM(F202:K202)</f>
        <v>981980.23250000004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321366.07750000001</v>
      </c>
      <c r="G203" s="18">
        <v>174481.82400000002</v>
      </c>
      <c r="H203" s="18">
        <v>145613.66999999998</v>
      </c>
      <c r="I203" s="18">
        <v>67358.747000000003</v>
      </c>
      <c r="J203" s="18">
        <v>160557.13700000002</v>
      </c>
      <c r="K203" s="18">
        <v>327.27</v>
      </c>
      <c r="L203" s="19">
        <f t="shared" si="0"/>
        <v>869704.72550000006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5330</v>
      </c>
      <c r="G204" s="18">
        <v>417.56650000000002</v>
      </c>
      <c r="H204" s="18">
        <v>565006.17550000001</v>
      </c>
      <c r="I204" s="18">
        <v>2057.3020000000001</v>
      </c>
      <c r="J204" s="18">
        <v>0</v>
      </c>
      <c r="K204" s="18">
        <v>5587.1465000000007</v>
      </c>
      <c r="L204" s="19">
        <f t="shared" si="0"/>
        <v>578398.19050000003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535337.92999999993</v>
      </c>
      <c r="G205" s="18">
        <v>293197.34000000003</v>
      </c>
      <c r="H205" s="18">
        <v>35225.919999999998</v>
      </c>
      <c r="I205" s="18">
        <v>2946.19</v>
      </c>
      <c r="J205" s="18">
        <v>240</v>
      </c>
      <c r="K205" s="18">
        <v>1049</v>
      </c>
      <c r="L205" s="19">
        <f t="shared" si="0"/>
        <v>867996.38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11127.1875</v>
      </c>
      <c r="G206" s="18">
        <v>892.89200000000005</v>
      </c>
      <c r="H206" s="18">
        <v>0</v>
      </c>
      <c r="I206" s="18">
        <v>419.90000000000003</v>
      </c>
      <c r="J206" s="18">
        <v>1530.1000000000001</v>
      </c>
      <c r="K206" s="18">
        <v>0</v>
      </c>
      <c r="L206" s="19">
        <f t="shared" si="0"/>
        <v>13970.0795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349041.09350000002</v>
      </c>
      <c r="G207" s="18">
        <v>221604.21299999999</v>
      </c>
      <c r="H207" s="18">
        <v>388758.04650000005</v>
      </c>
      <c r="I207" s="18">
        <v>311639.46049999999</v>
      </c>
      <c r="J207" s="18">
        <v>298965.43949999998</v>
      </c>
      <c r="K207" s="18">
        <v>204.19749999999999</v>
      </c>
      <c r="L207" s="19">
        <f t="shared" si="0"/>
        <v>1570212.4505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580163.20750000002</v>
      </c>
      <c r="I208" s="18"/>
      <c r="J208" s="18"/>
      <c r="K208" s="18"/>
      <c r="L208" s="19">
        <f t="shared" si="0"/>
        <v>580163.20750000002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450648.59450000001</v>
      </c>
      <c r="H209" s="18"/>
      <c r="I209" s="18"/>
      <c r="J209" s="18"/>
      <c r="K209" s="18"/>
      <c r="L209" s="19">
        <f>SUM(F209:K209)</f>
        <v>450648.59450000001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7233494.2630000003</v>
      </c>
      <c r="G211" s="41">
        <f t="shared" si="1"/>
        <v>3827069.4590000003</v>
      </c>
      <c r="H211" s="41">
        <f t="shared" si="1"/>
        <v>2022648.0014999998</v>
      </c>
      <c r="I211" s="41">
        <f t="shared" si="1"/>
        <v>483452.30699999997</v>
      </c>
      <c r="J211" s="41">
        <f t="shared" si="1"/>
        <v>481416.19750000001</v>
      </c>
      <c r="K211" s="41">
        <f t="shared" si="1"/>
        <v>9326.8640000000014</v>
      </c>
      <c r="L211" s="41">
        <f t="shared" si="1"/>
        <v>14057407.092000004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1778297.9609999999</v>
      </c>
      <c r="G233" s="18">
        <v>764404.429</v>
      </c>
      <c r="H233" s="18">
        <v>11647.58</v>
      </c>
      <c r="I233" s="18">
        <v>74086.92</v>
      </c>
      <c r="J233" s="18">
        <v>28232.92</v>
      </c>
      <c r="K233" s="18">
        <v>0</v>
      </c>
      <c r="L233" s="19">
        <f>SUM(F233:K233)</f>
        <v>2656669.8099999996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511601.03400000004</v>
      </c>
      <c r="G234" s="18">
        <v>193748.13050000003</v>
      </c>
      <c r="H234" s="18">
        <v>32191.853999999999</v>
      </c>
      <c r="I234" s="18">
        <v>2162.7899999999995</v>
      </c>
      <c r="J234" s="18">
        <v>448.35</v>
      </c>
      <c r="K234" s="18">
        <v>0</v>
      </c>
      <c r="L234" s="19">
        <f>SUM(F234:K234)</f>
        <v>740152.15850000014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122839.52</v>
      </c>
      <c r="I235" s="18"/>
      <c r="J235" s="18"/>
      <c r="K235" s="18"/>
      <c r="L235" s="19">
        <f>SUM(F235:K235)</f>
        <v>122839.52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186156.5</v>
      </c>
      <c r="G236" s="18">
        <v>36512.979999999996</v>
      </c>
      <c r="H236" s="18">
        <v>75873.97</v>
      </c>
      <c r="I236" s="18">
        <v>14789.17</v>
      </c>
      <c r="J236" s="18">
        <v>23196.71</v>
      </c>
      <c r="K236" s="18">
        <v>14994.9</v>
      </c>
      <c r="L236" s="19">
        <f>SUM(F236:K236)</f>
        <v>351524.23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311815.31049999996</v>
      </c>
      <c r="G238" s="18">
        <v>185492.2015</v>
      </c>
      <c r="H238" s="18">
        <v>35270.544000000002</v>
      </c>
      <c r="I238" s="18">
        <v>7291.1325000000006</v>
      </c>
      <c r="J238" s="18">
        <v>296.649</v>
      </c>
      <c r="K238" s="18">
        <v>8.75</v>
      </c>
      <c r="L238" s="19">
        <f t="shared" ref="L238:L244" si="4">SUM(F238:K238)</f>
        <v>540174.58749999991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160945.83249999999</v>
      </c>
      <c r="G239" s="18">
        <v>90550.906000000003</v>
      </c>
      <c r="H239" s="18">
        <v>92552.55</v>
      </c>
      <c r="I239" s="18">
        <v>37701.502999999997</v>
      </c>
      <c r="J239" s="18">
        <v>111360.05299999999</v>
      </c>
      <c r="K239" s="18">
        <v>486.15</v>
      </c>
      <c r="L239" s="19">
        <f t="shared" si="4"/>
        <v>493596.99449999991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2870</v>
      </c>
      <c r="G240" s="18">
        <v>224.84349999999995</v>
      </c>
      <c r="H240" s="18">
        <v>304234.09450000001</v>
      </c>
      <c r="I240" s="18">
        <v>1107.7779999999998</v>
      </c>
      <c r="J240" s="18">
        <v>0</v>
      </c>
      <c r="K240" s="18">
        <v>3008.4634999999998</v>
      </c>
      <c r="L240" s="19">
        <f t="shared" si="4"/>
        <v>311445.17950000003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263396.11</v>
      </c>
      <c r="G241" s="18">
        <v>128304.76000000001</v>
      </c>
      <c r="H241" s="18">
        <v>35588.769999999997</v>
      </c>
      <c r="I241" s="18">
        <v>5801.87</v>
      </c>
      <c r="J241" s="18">
        <v>307.29000000000002</v>
      </c>
      <c r="K241" s="18">
        <v>8576.7999999999993</v>
      </c>
      <c r="L241" s="19">
        <f t="shared" si="4"/>
        <v>441975.6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5991.5625</v>
      </c>
      <c r="G242" s="18">
        <v>480.78800000000001</v>
      </c>
      <c r="H242" s="18">
        <v>0</v>
      </c>
      <c r="I242" s="18">
        <v>226.09999999999997</v>
      </c>
      <c r="J242" s="18">
        <v>823.89999999999986</v>
      </c>
      <c r="K242" s="18">
        <v>0</v>
      </c>
      <c r="L242" s="19">
        <f t="shared" si="4"/>
        <v>7522.3505000000005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211475.51649999997</v>
      </c>
      <c r="G243" s="18">
        <v>138957.34700000001</v>
      </c>
      <c r="H243" s="18">
        <v>236000.44349999996</v>
      </c>
      <c r="I243" s="18">
        <v>256871.11949999997</v>
      </c>
      <c r="J243" s="18">
        <v>159067.43049999999</v>
      </c>
      <c r="K243" s="18">
        <v>109.95249999999999</v>
      </c>
      <c r="L243" s="19">
        <f t="shared" si="4"/>
        <v>1002481.8094999999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375171.46250000002</v>
      </c>
      <c r="I244" s="18"/>
      <c r="J244" s="18"/>
      <c r="K244" s="18"/>
      <c r="L244" s="19">
        <f t="shared" si="4"/>
        <v>375171.46250000002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242656.93550000002</v>
      </c>
      <c r="H245" s="18"/>
      <c r="I245" s="18"/>
      <c r="J245" s="18"/>
      <c r="K245" s="18"/>
      <c r="L245" s="19">
        <f>SUM(F245:K245)</f>
        <v>242656.93550000002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3432549.827</v>
      </c>
      <c r="G247" s="41">
        <f t="shared" si="5"/>
        <v>1781333.321</v>
      </c>
      <c r="H247" s="41">
        <f t="shared" si="5"/>
        <v>1321370.7885</v>
      </c>
      <c r="I247" s="41">
        <f t="shared" si="5"/>
        <v>400038.38299999991</v>
      </c>
      <c r="J247" s="41">
        <f t="shared" si="5"/>
        <v>323733.30249999999</v>
      </c>
      <c r="K247" s="41">
        <f t="shared" si="5"/>
        <v>27185.016</v>
      </c>
      <c r="L247" s="41">
        <f t="shared" si="5"/>
        <v>7286210.6379999984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10666044.09</v>
      </c>
      <c r="G257" s="41">
        <f t="shared" si="8"/>
        <v>5608402.7800000003</v>
      </c>
      <c r="H257" s="41">
        <f t="shared" si="8"/>
        <v>3344018.79</v>
      </c>
      <c r="I257" s="41">
        <f t="shared" si="8"/>
        <v>883490.69</v>
      </c>
      <c r="J257" s="41">
        <f t="shared" si="8"/>
        <v>805149.5</v>
      </c>
      <c r="K257" s="41">
        <f t="shared" si="8"/>
        <v>36511.880000000005</v>
      </c>
      <c r="L257" s="41">
        <f t="shared" si="8"/>
        <v>21343617.730000004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10666044.09</v>
      </c>
      <c r="G271" s="42">
        <f t="shared" si="11"/>
        <v>5608402.7800000003</v>
      </c>
      <c r="H271" s="42">
        <f t="shared" si="11"/>
        <v>3344018.79</v>
      </c>
      <c r="I271" s="42">
        <f t="shared" si="11"/>
        <v>883490.69</v>
      </c>
      <c r="J271" s="42">
        <f t="shared" si="11"/>
        <v>805149.5</v>
      </c>
      <c r="K271" s="42">
        <f t="shared" si="11"/>
        <v>111511.88</v>
      </c>
      <c r="L271" s="42">
        <f t="shared" si="11"/>
        <v>21418617.730000004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115841.18000000001</v>
      </c>
      <c r="G276" s="18">
        <v>32029.965500000002</v>
      </c>
      <c r="H276" s="18">
        <v>8172.5400000000009</v>
      </c>
      <c r="I276" s="18">
        <v>4578.317</v>
      </c>
      <c r="J276" s="18">
        <v>1751.75</v>
      </c>
      <c r="K276" s="18">
        <v>0</v>
      </c>
      <c r="L276" s="19">
        <f>SUM(F276:K276)</f>
        <v>162373.75250000003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467.1875</v>
      </c>
      <c r="G281" s="18">
        <v>59.195499999999996</v>
      </c>
      <c r="H281" s="18">
        <v>377</v>
      </c>
      <c r="I281" s="18">
        <v>101.45200000000001</v>
      </c>
      <c r="J281" s="18">
        <v>0</v>
      </c>
      <c r="K281" s="18">
        <v>0</v>
      </c>
      <c r="L281" s="19">
        <f t="shared" ref="L281:L287" si="12">SUM(F281:K281)</f>
        <v>1004.835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7939.75</v>
      </c>
      <c r="G282" s="18">
        <v>1732.289</v>
      </c>
      <c r="H282" s="18">
        <v>19291.6685</v>
      </c>
      <c r="I282" s="18">
        <v>564.85</v>
      </c>
      <c r="J282" s="18">
        <v>21378.194500000001</v>
      </c>
      <c r="K282" s="18">
        <v>0</v>
      </c>
      <c r="L282" s="19">
        <f t="shared" si="12"/>
        <v>50906.752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11418.5695</v>
      </c>
      <c r="L283" s="19">
        <f t="shared" si="12"/>
        <v>11418.5695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1413.65</v>
      </c>
      <c r="I287" s="18"/>
      <c r="J287" s="18"/>
      <c r="K287" s="18"/>
      <c r="L287" s="19">
        <f t="shared" si="12"/>
        <v>1413.65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124248.11750000001</v>
      </c>
      <c r="G290" s="42">
        <f t="shared" si="13"/>
        <v>33821.450000000004</v>
      </c>
      <c r="H290" s="42">
        <f t="shared" si="13"/>
        <v>29254.858500000002</v>
      </c>
      <c r="I290" s="42">
        <f t="shared" si="13"/>
        <v>5244.6190000000006</v>
      </c>
      <c r="J290" s="42">
        <f t="shared" si="13"/>
        <v>23129.944500000001</v>
      </c>
      <c r="K290" s="42">
        <f t="shared" si="13"/>
        <v>11418.5695</v>
      </c>
      <c r="L290" s="41">
        <f t="shared" si="13"/>
        <v>227117.55900000004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62376.020000000004</v>
      </c>
      <c r="G314" s="18">
        <v>17246.904500000001</v>
      </c>
      <c r="H314" s="18">
        <v>0</v>
      </c>
      <c r="I314" s="18">
        <v>730.79299999999989</v>
      </c>
      <c r="J314" s="18">
        <v>943.25</v>
      </c>
      <c r="K314" s="18">
        <v>0</v>
      </c>
      <c r="L314" s="19">
        <f>SUM(F314:K314)</f>
        <v>81296.967500000013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325</v>
      </c>
      <c r="G317" s="18">
        <v>70.88</v>
      </c>
      <c r="H317" s="18">
        <v>1540</v>
      </c>
      <c r="I317" s="18">
        <v>1624.91</v>
      </c>
      <c r="J317" s="18">
        <v>0</v>
      </c>
      <c r="K317" s="18">
        <v>0</v>
      </c>
      <c r="L317" s="19">
        <f>SUM(F317:K317)</f>
        <v>3560.79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251.5625</v>
      </c>
      <c r="G319" s="18">
        <v>31.874499999999998</v>
      </c>
      <c r="H319" s="18">
        <v>203</v>
      </c>
      <c r="I319" s="18">
        <v>54.628</v>
      </c>
      <c r="J319" s="18">
        <v>0</v>
      </c>
      <c r="K319" s="18">
        <v>0</v>
      </c>
      <c r="L319" s="19">
        <f t="shared" ref="L319:L325" si="16">SUM(F319:K319)</f>
        <v>541.06500000000005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4275.25</v>
      </c>
      <c r="G320" s="18">
        <v>932.77099999999996</v>
      </c>
      <c r="H320" s="18">
        <v>10387.821499999998</v>
      </c>
      <c r="I320" s="18">
        <v>304.14999999999998</v>
      </c>
      <c r="J320" s="18">
        <v>11511.335499999997</v>
      </c>
      <c r="K320" s="18">
        <v>0</v>
      </c>
      <c r="L320" s="19">
        <f t="shared" si="16"/>
        <v>27411.327999999994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6148.4604999999992</v>
      </c>
      <c r="L321" s="19">
        <f t="shared" si="16"/>
        <v>6148.4604999999992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1286</v>
      </c>
      <c r="I325" s="18"/>
      <c r="J325" s="18"/>
      <c r="K325" s="18"/>
      <c r="L325" s="19">
        <f t="shared" si="16"/>
        <v>1286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67227.832500000004</v>
      </c>
      <c r="G328" s="42">
        <f t="shared" si="17"/>
        <v>18282.430000000004</v>
      </c>
      <c r="H328" s="42">
        <f t="shared" si="17"/>
        <v>13416.821499999998</v>
      </c>
      <c r="I328" s="42">
        <f t="shared" si="17"/>
        <v>2714.4810000000002</v>
      </c>
      <c r="J328" s="42">
        <f t="shared" si="17"/>
        <v>12454.585499999997</v>
      </c>
      <c r="K328" s="42">
        <f t="shared" si="17"/>
        <v>6148.4604999999992</v>
      </c>
      <c r="L328" s="41">
        <f t="shared" si="17"/>
        <v>120244.611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64436.89</v>
      </c>
      <c r="I336" s="18"/>
      <c r="J336" s="18"/>
      <c r="K336" s="18"/>
      <c r="L336" s="19">
        <f t="shared" si="18"/>
        <v>64436.89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64436.89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64436.89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191475.95</v>
      </c>
      <c r="G338" s="41">
        <f t="shared" si="20"/>
        <v>52103.880000000005</v>
      </c>
      <c r="H338" s="41">
        <f t="shared" si="20"/>
        <v>107108.57</v>
      </c>
      <c r="I338" s="41">
        <f t="shared" si="20"/>
        <v>7959.1</v>
      </c>
      <c r="J338" s="41">
        <f t="shared" si="20"/>
        <v>35584.53</v>
      </c>
      <c r="K338" s="41">
        <f t="shared" si="20"/>
        <v>17567.03</v>
      </c>
      <c r="L338" s="41">
        <f t="shared" si="20"/>
        <v>411799.06000000006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191475.95</v>
      </c>
      <c r="G352" s="41">
        <f>G338</f>
        <v>52103.880000000005</v>
      </c>
      <c r="H352" s="41">
        <f>H338</f>
        <v>107108.57</v>
      </c>
      <c r="I352" s="41">
        <f>I338</f>
        <v>7959.1</v>
      </c>
      <c r="J352" s="41">
        <f>J338</f>
        <v>35584.53</v>
      </c>
      <c r="K352" s="47">
        <f>K338+K351</f>
        <v>17567.03</v>
      </c>
      <c r="L352" s="41">
        <f>L338+L351</f>
        <v>411799.06000000006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438699*0.65</f>
        <v>285154.35000000003</v>
      </c>
      <c r="I358" s="18">
        <f>-5.29*0.65</f>
        <v>-3.4385000000000003</v>
      </c>
      <c r="J358" s="18">
        <f>373.9*0.65</f>
        <v>243.035</v>
      </c>
      <c r="K358" s="18">
        <f>876.56*0.65</f>
        <v>569.76400000000001</v>
      </c>
      <c r="L358" s="13">
        <f>SUM(F358:K358)</f>
        <v>285963.71050000004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438699-H358</f>
        <v>153544.64999999997</v>
      </c>
      <c r="I360" s="18">
        <f>-5.29-I358</f>
        <v>-1.8514999999999997</v>
      </c>
      <c r="J360" s="18">
        <f>373.9-J358</f>
        <v>130.86499999999998</v>
      </c>
      <c r="K360" s="18">
        <f>876.56-K358</f>
        <v>306.79599999999994</v>
      </c>
      <c r="L360" s="19">
        <f>SUM(F360:K360)</f>
        <v>153980.45949999997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438699</v>
      </c>
      <c r="I362" s="47">
        <f t="shared" si="22"/>
        <v>-5.29</v>
      </c>
      <c r="J362" s="47">
        <f t="shared" si="22"/>
        <v>373.9</v>
      </c>
      <c r="K362" s="47">
        <f t="shared" si="22"/>
        <v>876.56</v>
      </c>
      <c r="L362" s="47">
        <f t="shared" si="22"/>
        <v>439944.17000000004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-3.44</v>
      </c>
      <c r="G368" s="63"/>
      <c r="H368" s="63">
        <v>-1.85</v>
      </c>
      <c r="I368" s="56">
        <f>SUM(F368:H368)</f>
        <v>-5.29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-3.44</v>
      </c>
      <c r="G369" s="47">
        <f>SUM(G367:G368)</f>
        <v>0</v>
      </c>
      <c r="H369" s="47">
        <f>SUM(H367:H368)</f>
        <v>-1.85</v>
      </c>
      <c r="I369" s="47">
        <f>SUM(I367:I368)</f>
        <v>-5.29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7.53</v>
      </c>
      <c r="I395" s="18"/>
      <c r="J395" s="24" t="s">
        <v>289</v>
      </c>
      <c r="K395" s="24" t="s">
        <v>289</v>
      </c>
      <c r="L395" s="56">
        <f t="shared" ref="L395:L400" si="26">SUM(F395:K395)</f>
        <v>7.53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75000</v>
      </c>
      <c r="H396" s="18">
        <f>34.99+0.2</f>
        <v>35.190000000000005</v>
      </c>
      <c r="I396" s="18"/>
      <c r="J396" s="24" t="s">
        <v>289</v>
      </c>
      <c r="K396" s="24" t="s">
        <v>289</v>
      </c>
      <c r="L396" s="56">
        <f t="shared" si="26"/>
        <v>75035.19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15.06</v>
      </c>
      <c r="I397" s="18"/>
      <c r="J397" s="24" t="s">
        <v>289</v>
      </c>
      <c r="K397" s="24" t="s">
        <v>289</v>
      </c>
      <c r="L397" s="56">
        <f t="shared" si="26"/>
        <v>15.06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57.780000000000008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75057.78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57.780000000000008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75057.78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5783.5</v>
      </c>
      <c r="L422" s="56">
        <f t="shared" si="29"/>
        <v>5783.5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5783.5</v>
      </c>
      <c r="L427" s="47">
        <f t="shared" si="30"/>
        <v>5783.5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5783.5</v>
      </c>
      <c r="L434" s="47">
        <f t="shared" si="32"/>
        <v>5783.5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70983.45+150327.35+359984.18+50.85</f>
        <v>581345.82999999996</v>
      </c>
      <c r="H439" s="18"/>
      <c r="I439" s="56">
        <f t="shared" ref="I439:I445" si="33">SUM(F439:H439)</f>
        <v>581345.82999999996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25000</v>
      </c>
      <c r="H441" s="18"/>
      <c r="I441" s="56">
        <f t="shared" si="33"/>
        <v>25000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606345.82999999996</v>
      </c>
      <c r="H446" s="13">
        <f>SUM(H439:H445)</f>
        <v>0</v>
      </c>
      <c r="I446" s="13">
        <f>SUM(I439:I445)</f>
        <v>606345.82999999996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25000</v>
      </c>
      <c r="H448" s="18"/>
      <c r="I448" s="56">
        <f>SUM(F448:H448)</f>
        <v>25000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25000</v>
      </c>
      <c r="H452" s="72">
        <f>SUM(H448:H451)</f>
        <v>0</v>
      </c>
      <c r="I452" s="72">
        <f>SUM(I448:I451)</f>
        <v>25000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581345.82999999996</v>
      </c>
      <c r="H459" s="18"/>
      <c r="I459" s="56">
        <f t="shared" si="34"/>
        <v>581345.82999999996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581345.82999999996</v>
      </c>
      <c r="H460" s="83">
        <f>SUM(H454:H459)</f>
        <v>0</v>
      </c>
      <c r="I460" s="83">
        <f>SUM(I454:I459)</f>
        <v>581345.82999999996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606345.82999999996</v>
      </c>
      <c r="H461" s="42">
        <f>H452+H460</f>
        <v>0</v>
      </c>
      <c r="I461" s="42">
        <f>I452+I460</f>
        <v>606345.82999999996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780287.68000000343</v>
      </c>
      <c r="G465" s="18">
        <v>8693.6899999999441</v>
      </c>
      <c r="H465" s="18">
        <v>40274.72000000003</v>
      </c>
      <c r="I465" s="18">
        <v>3231.11</v>
      </c>
      <c r="J465" s="18">
        <v>512071.54999999993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21180734.039999999</v>
      </c>
      <c r="G468" s="18">
        <v>446541.83</v>
      </c>
      <c r="H468" s="18">
        <f>287690.46+47571.69+58914.35</f>
        <v>394176.5</v>
      </c>
      <c r="I468" s="18">
        <v>2468795.3199999998</v>
      </c>
      <c r="J468" s="18">
        <f>7.53+15.06+75034.99+0.2</f>
        <v>75057.78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1250.08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21180734.039999999</v>
      </c>
      <c r="G470" s="53">
        <f>SUM(G468:G469)</f>
        <v>446541.83</v>
      </c>
      <c r="H470" s="53">
        <f>SUM(H468:H469)</f>
        <v>395426.58</v>
      </c>
      <c r="I470" s="53">
        <f>SUM(I468:I469)</f>
        <v>2468795.3199999998</v>
      </c>
      <c r="J470" s="53">
        <f>SUM(J468:J469)</f>
        <v>75057.78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21418617.73</v>
      </c>
      <c r="G472" s="18">
        <v>439944.17</v>
      </c>
      <c r="H472" s="18">
        <f>285696.52+78584.94+47517.6</f>
        <v>411799.06</v>
      </c>
      <c r="I472" s="18"/>
      <c r="J472" s="18">
        <v>5783.5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21418617.73</v>
      </c>
      <c r="G474" s="53">
        <f>SUM(G472:G473)</f>
        <v>439944.17</v>
      </c>
      <c r="H474" s="53">
        <f>SUM(H472:H473)</f>
        <v>411799.06</v>
      </c>
      <c r="I474" s="53">
        <f>SUM(I472:I473)</f>
        <v>0</v>
      </c>
      <c r="J474" s="53">
        <f>SUM(J472:J473)</f>
        <v>5783.5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542403.99000000209</v>
      </c>
      <c r="G476" s="53">
        <f>(G465+G470)- G474</f>
        <v>15291.349999999977</v>
      </c>
      <c r="H476" s="53">
        <f>(H465+H470)- H474</f>
        <v>23902.240000000049</v>
      </c>
      <c r="I476" s="53">
        <f>(I465+I470)- I474</f>
        <v>2472026.4299999997</v>
      </c>
      <c r="J476" s="53">
        <f>(J465+J470)- J474</f>
        <v>581345.82999999996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1574047.18</v>
      </c>
      <c r="G521" s="18">
        <v>735813.81</v>
      </c>
      <c r="H521" s="18">
        <v>146402.25</v>
      </c>
      <c r="I521" s="18">
        <v>4205.4799999999996</v>
      </c>
      <c r="J521" s="18">
        <v>1131.6500000000001</v>
      </c>
      <c r="K521" s="18"/>
      <c r="L521" s="88">
        <f>SUM(F521:K521)</f>
        <v>2461600.37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511601.03</v>
      </c>
      <c r="G523" s="18">
        <v>193748.13</v>
      </c>
      <c r="H523" s="18">
        <v>32191.85</v>
      </c>
      <c r="I523" s="18">
        <v>2162.79</v>
      </c>
      <c r="J523" s="18">
        <v>448.35</v>
      </c>
      <c r="K523" s="18"/>
      <c r="L523" s="88">
        <f>SUM(F523:K523)</f>
        <v>740152.15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2085648.21</v>
      </c>
      <c r="G524" s="108">
        <f t="shared" ref="G524:L524" si="36">SUM(G521:G523)</f>
        <v>929561.94000000006</v>
      </c>
      <c r="H524" s="108">
        <f t="shared" si="36"/>
        <v>178594.1</v>
      </c>
      <c r="I524" s="108">
        <f t="shared" si="36"/>
        <v>6368.2699999999995</v>
      </c>
      <c r="J524" s="108">
        <f t="shared" si="36"/>
        <v>1580</v>
      </c>
      <c r="K524" s="108">
        <f t="shared" si="36"/>
        <v>0</v>
      </c>
      <c r="L524" s="89">
        <f t="shared" si="36"/>
        <v>3201752.52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351503.26+186.88</f>
        <v>351690.14</v>
      </c>
      <c r="G526" s="18">
        <f>202405.27+23.68</f>
        <v>202428.94999999998</v>
      </c>
      <c r="H526" s="18">
        <f>94456.63+150.8</f>
        <v>94607.430000000008</v>
      </c>
      <c r="I526" s="18">
        <f>3405.11+40.58</f>
        <v>3445.69</v>
      </c>
      <c r="J526" s="18">
        <v>916.16</v>
      </c>
      <c r="K526" s="18">
        <v>64.5</v>
      </c>
      <c r="L526" s="88">
        <f>SUM(F526:K526)</f>
        <v>653152.87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192599.64+100.63</f>
        <v>192700.27000000002</v>
      </c>
      <c r="G528" s="18">
        <f>116033.4+12.75</f>
        <v>116046.15</v>
      </c>
      <c r="H528" s="18">
        <f>24166.65+81.2</f>
        <v>24247.850000000002</v>
      </c>
      <c r="I528" s="18">
        <f>3113.21+21.85</f>
        <v>3135.06</v>
      </c>
      <c r="J528" s="18">
        <v>148.63999999999999</v>
      </c>
      <c r="K528" s="18">
        <v>3.5</v>
      </c>
      <c r="L528" s="88">
        <f>SUM(F528:K528)</f>
        <v>336281.47000000003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544390.41</v>
      </c>
      <c r="G529" s="89">
        <f t="shared" ref="G529:L529" si="37">SUM(G526:G528)</f>
        <v>318475.09999999998</v>
      </c>
      <c r="H529" s="89">
        <f t="shared" si="37"/>
        <v>118855.28000000001</v>
      </c>
      <c r="I529" s="89">
        <f t="shared" si="37"/>
        <v>6580.75</v>
      </c>
      <c r="J529" s="89">
        <f t="shared" si="37"/>
        <v>1064.8</v>
      </c>
      <c r="K529" s="89">
        <f t="shared" si="37"/>
        <v>68</v>
      </c>
      <c r="L529" s="89">
        <f t="shared" si="37"/>
        <v>989434.34000000008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72246.67</v>
      </c>
      <c r="I531" s="18"/>
      <c r="J531" s="18"/>
      <c r="K531" s="18"/>
      <c r="L531" s="88">
        <f>SUM(F531:K531)</f>
        <v>72246.67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38902.050000000003</v>
      </c>
      <c r="I533" s="18"/>
      <c r="J533" s="18"/>
      <c r="K533" s="18"/>
      <c r="L533" s="88">
        <f>SUM(F533:K533)</f>
        <v>38902.050000000003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111148.72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111148.72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852.48</v>
      </c>
      <c r="I536" s="18"/>
      <c r="J536" s="18"/>
      <c r="K536" s="18"/>
      <c r="L536" s="88">
        <f>SUM(F536:K536)</f>
        <v>852.48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459.03</v>
      </c>
      <c r="I538" s="18"/>
      <c r="J538" s="18"/>
      <c r="K538" s="18"/>
      <c r="L538" s="88">
        <f>SUM(F538:K538)</f>
        <v>459.03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1311.51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1311.51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64336.94</v>
      </c>
      <c r="I541" s="18"/>
      <c r="J541" s="18"/>
      <c r="K541" s="18"/>
      <c r="L541" s="88">
        <f>SUM(F541:K541)</f>
        <v>64336.94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32500.36</v>
      </c>
      <c r="I543" s="18"/>
      <c r="J543" s="18"/>
      <c r="K543" s="18"/>
      <c r="L543" s="88">
        <f>SUM(F543:K543)</f>
        <v>32500.36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96837.3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96837.3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2630038.62</v>
      </c>
      <c r="G545" s="89">
        <f t="shared" ref="G545:L545" si="41">G524+G529+G534+G539+G544</f>
        <v>1248037.04</v>
      </c>
      <c r="H545" s="89">
        <f t="shared" si="41"/>
        <v>506746.91</v>
      </c>
      <c r="I545" s="89">
        <f t="shared" si="41"/>
        <v>12949.02</v>
      </c>
      <c r="J545" s="89">
        <f t="shared" si="41"/>
        <v>2644.8</v>
      </c>
      <c r="K545" s="89">
        <f t="shared" si="41"/>
        <v>68</v>
      </c>
      <c r="L545" s="89">
        <f t="shared" si="41"/>
        <v>4400484.3899999997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2461600.37</v>
      </c>
      <c r="G549" s="87">
        <f>L526</f>
        <v>653152.87</v>
      </c>
      <c r="H549" s="87">
        <f>L531</f>
        <v>72246.67</v>
      </c>
      <c r="I549" s="87">
        <f>L536</f>
        <v>852.48</v>
      </c>
      <c r="J549" s="87">
        <f>L541</f>
        <v>64336.94</v>
      </c>
      <c r="K549" s="87">
        <f>SUM(F549:J549)</f>
        <v>3252189.33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740152.15</v>
      </c>
      <c r="G551" s="87">
        <f>L528</f>
        <v>336281.47000000003</v>
      </c>
      <c r="H551" s="87">
        <f>L533</f>
        <v>38902.050000000003</v>
      </c>
      <c r="I551" s="87">
        <f>L538</f>
        <v>459.03</v>
      </c>
      <c r="J551" s="87">
        <f>L543</f>
        <v>32500.36</v>
      </c>
      <c r="K551" s="87">
        <f>SUM(F551:J551)</f>
        <v>1148295.0600000003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3201752.52</v>
      </c>
      <c r="G552" s="89">
        <f t="shared" si="42"/>
        <v>989434.34000000008</v>
      </c>
      <c r="H552" s="89">
        <f t="shared" si="42"/>
        <v>111148.72</v>
      </c>
      <c r="I552" s="89">
        <f t="shared" si="42"/>
        <v>1311.51</v>
      </c>
      <c r="J552" s="89">
        <f t="shared" si="42"/>
        <v>96837.3</v>
      </c>
      <c r="K552" s="89">
        <f t="shared" si="42"/>
        <v>4400484.3900000006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0.65*32886.69</f>
        <v>21376.348500000004</v>
      </c>
      <c r="G562" s="18">
        <f>0.65*8467.15</f>
        <v>5503.6475</v>
      </c>
      <c r="H562" s="18">
        <f>0.65*3500</f>
        <v>2275</v>
      </c>
      <c r="I562" s="18">
        <f>0.65*900</f>
        <v>585</v>
      </c>
      <c r="J562" s="18"/>
      <c r="K562" s="18"/>
      <c r="L562" s="88">
        <f>SUM(F562:K562)</f>
        <v>29739.996000000003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32886.69-F562</f>
        <v>11510.341499999999</v>
      </c>
      <c r="G564" s="18">
        <f>8467.15-G562</f>
        <v>2963.5024999999996</v>
      </c>
      <c r="H564" s="18">
        <f>3500-H562</f>
        <v>1225</v>
      </c>
      <c r="I564" s="18">
        <f>900-I562</f>
        <v>315</v>
      </c>
      <c r="J564" s="18"/>
      <c r="K564" s="18"/>
      <c r="L564" s="88">
        <f>SUM(F564:K564)</f>
        <v>16013.843999999997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32886.69</v>
      </c>
      <c r="G565" s="89">
        <f t="shared" si="44"/>
        <v>8467.15</v>
      </c>
      <c r="H565" s="89">
        <f t="shared" si="44"/>
        <v>3500</v>
      </c>
      <c r="I565" s="89">
        <f t="shared" si="44"/>
        <v>900</v>
      </c>
      <c r="J565" s="89">
        <f t="shared" si="44"/>
        <v>0</v>
      </c>
      <c r="K565" s="89">
        <f t="shared" si="44"/>
        <v>0</v>
      </c>
      <c r="L565" s="89">
        <f t="shared" si="44"/>
        <v>45753.84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32886.69</v>
      </c>
      <c r="G571" s="89">
        <f t="shared" ref="G571:L571" si="46">G560+G565+G570</f>
        <v>8467.15</v>
      </c>
      <c r="H571" s="89">
        <f t="shared" si="46"/>
        <v>3500</v>
      </c>
      <c r="I571" s="89">
        <f t="shared" si="46"/>
        <v>900</v>
      </c>
      <c r="J571" s="89">
        <f t="shared" si="46"/>
        <v>0</v>
      </c>
      <c r="K571" s="89">
        <f t="shared" si="46"/>
        <v>0</v>
      </c>
      <c r="L571" s="89">
        <f t="shared" si="46"/>
        <v>45753.84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25589.759999999998</v>
      </c>
      <c r="G579" s="18"/>
      <c r="H579" s="18">
        <v>20915.89</v>
      </c>
      <c r="I579" s="87">
        <f t="shared" si="47"/>
        <v>46505.649999999994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99871.41</v>
      </c>
      <c r="G582" s="18"/>
      <c r="H582" s="18"/>
      <c r="I582" s="87">
        <f t="shared" si="47"/>
        <v>99871.41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122839.52</v>
      </c>
      <c r="I584" s="87">
        <f t="shared" si="47"/>
        <v>122839.52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719144.76*0.65</f>
        <v>467444.09400000004</v>
      </c>
      <c r="I591" s="18"/>
      <c r="J591" s="18">
        <f>719144.76-H591</f>
        <v>251700.66599999997</v>
      </c>
      <c r="K591" s="104">
        <f t="shared" ref="K591:K597" si="48">SUM(H591:J591)</f>
        <v>719144.76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64336.94</v>
      </c>
      <c r="I592" s="18"/>
      <c r="J592" s="18">
        <v>32500.36</v>
      </c>
      <c r="K592" s="104">
        <f t="shared" si="48"/>
        <v>96837.3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11385</v>
      </c>
      <c r="K593" s="104">
        <f t="shared" si="48"/>
        <v>11385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66035.98</v>
      </c>
      <c r="K594" s="104">
        <f t="shared" si="48"/>
        <v>66035.98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4674+25309.82+4015.97+0.65*147.5</f>
        <v>34095.665000000001</v>
      </c>
      <c r="I595" s="18"/>
      <c r="J595" s="18">
        <f>8066.63+(147.5-0.65*147.5)</f>
        <v>8118.2550000000001</v>
      </c>
      <c r="K595" s="104">
        <f t="shared" si="48"/>
        <v>42213.919999999998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4200+(0.65*15517.71)</f>
        <v>14286.511500000001</v>
      </c>
      <c r="I597" s="18"/>
      <c r="J597" s="18">
        <f>15517.71-0.65*15517.71</f>
        <v>5431.1984999999986</v>
      </c>
      <c r="K597" s="104">
        <f t="shared" si="48"/>
        <v>19717.71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580163.21050000004</v>
      </c>
      <c r="I598" s="108">
        <f>SUM(I591:I597)</f>
        <v>0</v>
      </c>
      <c r="J598" s="108">
        <f>SUM(J591:J597)</f>
        <v>375171.45949999994</v>
      </c>
      <c r="K598" s="108">
        <f>SUM(K591:K597)</f>
        <v>955334.67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504546.14</f>
        <v>504546.14</v>
      </c>
      <c r="I604" s="18"/>
      <c r="J604" s="18">
        <v>336187.89</v>
      </c>
      <c r="K604" s="104">
        <f>SUM(H604:J604)</f>
        <v>840734.03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504546.14</v>
      </c>
      <c r="I605" s="108">
        <f>SUM(I602:I604)</f>
        <v>0</v>
      </c>
      <c r="J605" s="108">
        <f>SUM(J602:J604)</f>
        <v>336187.89</v>
      </c>
      <c r="K605" s="108">
        <f>SUM(K602:K604)</f>
        <v>840734.03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18645+3756</f>
        <v>22401</v>
      </c>
      <c r="G611" s="18">
        <f>1713.75+792.81+2129.66+41.27</f>
        <v>4677.49</v>
      </c>
      <c r="H611" s="18"/>
      <c r="I611" s="18">
        <v>625.98</v>
      </c>
      <c r="J611" s="18"/>
      <c r="K611" s="18"/>
      <c r="L611" s="88">
        <f>SUM(F611:K611)</f>
        <v>27704.469999999998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22401</v>
      </c>
      <c r="G614" s="108">
        <f t="shared" si="49"/>
        <v>4677.49</v>
      </c>
      <c r="H614" s="108">
        <f t="shared" si="49"/>
        <v>0</v>
      </c>
      <c r="I614" s="108">
        <f t="shared" si="49"/>
        <v>625.98</v>
      </c>
      <c r="J614" s="108">
        <f t="shared" si="49"/>
        <v>0</v>
      </c>
      <c r="K614" s="108">
        <f t="shared" si="49"/>
        <v>0</v>
      </c>
      <c r="L614" s="89">
        <f t="shared" si="49"/>
        <v>27704.469999999998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7509542.790000001</v>
      </c>
      <c r="H617" s="109">
        <f>SUM(F52)</f>
        <v>7509542.790000001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3260472.11</v>
      </c>
      <c r="H618" s="109">
        <f>SUM(G52)</f>
        <v>3260472.11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3346135.2</v>
      </c>
      <c r="H619" s="109">
        <f>SUM(H52)</f>
        <v>3346135.2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2472048.8099999996</v>
      </c>
      <c r="H620" s="109">
        <f>SUM(I52)</f>
        <v>2472048.8099999996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606345.82999999996</v>
      </c>
      <c r="H621" s="109">
        <f>SUM(J52)</f>
        <v>606345.82999999996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542403.99</v>
      </c>
      <c r="H622" s="109">
        <f>F476</f>
        <v>542403.99000000209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15291.35</v>
      </c>
      <c r="H623" s="109">
        <f>G476</f>
        <v>15291.349999999977</v>
      </c>
      <c r="I623" s="121" t="s">
        <v>102</v>
      </c>
      <c r="J623" s="109">
        <f t="shared" si="50"/>
        <v>2.3646862246096134E-11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23902.239999999998</v>
      </c>
      <c r="H624" s="109">
        <f>H476</f>
        <v>23902.240000000049</v>
      </c>
      <c r="I624" s="121" t="s">
        <v>103</v>
      </c>
      <c r="J624" s="109">
        <f t="shared" si="50"/>
        <v>-5.0931703299283981E-11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2472026.4299999997</v>
      </c>
      <c r="H625" s="109">
        <f>I476</f>
        <v>2472026.4299999997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581345.82999999996</v>
      </c>
      <c r="H626" s="109">
        <f>J476</f>
        <v>581345.82999999996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21180734.039999999</v>
      </c>
      <c r="H627" s="104">
        <f>SUM(F468)</f>
        <v>21180734.039999999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446541.82999999996</v>
      </c>
      <c r="H628" s="104">
        <f>SUM(G468)</f>
        <v>446541.83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394176.5</v>
      </c>
      <c r="H629" s="104">
        <f>SUM(H468)</f>
        <v>394176.5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2468795.3199999998</v>
      </c>
      <c r="H630" s="104">
        <f>SUM(I468)</f>
        <v>2468795.3199999998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75057.78</v>
      </c>
      <c r="H631" s="104">
        <f>SUM(J468)</f>
        <v>75057.78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21418617.730000004</v>
      </c>
      <c r="H632" s="104">
        <f>SUM(F472)</f>
        <v>21418617.73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411799.06000000006</v>
      </c>
      <c r="H633" s="104">
        <f>SUM(H472)</f>
        <v>411799.06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-5.29</v>
      </c>
      <c r="H634" s="104">
        <f>I369</f>
        <v>-5.29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439944.17000000004</v>
      </c>
      <c r="H635" s="104">
        <f>SUM(G472)</f>
        <v>439944.17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75057.78</v>
      </c>
      <c r="H637" s="164">
        <f>SUM(J468)</f>
        <v>75057.78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5783.5</v>
      </c>
      <c r="H638" s="164">
        <f>SUM(J472)</f>
        <v>5783.5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606345.82999999996</v>
      </c>
      <c r="H640" s="104">
        <f>SUM(G461)</f>
        <v>606345.82999999996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606345.82999999996</v>
      </c>
      <c r="H642" s="104">
        <f>SUM(I461)</f>
        <v>606345.82999999996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57.78</v>
      </c>
      <c r="H644" s="104">
        <f>H408</f>
        <v>57.780000000000008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75057.78</v>
      </c>
      <c r="H646" s="104">
        <f>L408</f>
        <v>75057.78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955334.67</v>
      </c>
      <c r="H647" s="104">
        <f>L208+L226+L244</f>
        <v>955334.67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840734.03</v>
      </c>
      <c r="H648" s="104">
        <f>(J257+J338)-(J255+J336)</f>
        <v>840734.03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580163.20750000002</v>
      </c>
      <c r="H649" s="104">
        <f>H598</f>
        <v>580163.21050000004</v>
      </c>
      <c r="I649" s="140" t="s">
        <v>389</v>
      </c>
      <c r="J649" s="109">
        <f t="shared" si="50"/>
        <v>-3.0000000260770321E-3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375171.46250000002</v>
      </c>
      <c r="H651" s="104">
        <f>J598</f>
        <v>375171.45949999994</v>
      </c>
      <c r="I651" s="140" t="s">
        <v>391</v>
      </c>
      <c r="J651" s="109">
        <f t="shared" si="50"/>
        <v>3.000000084284693E-3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14570488.361500004</v>
      </c>
      <c r="G660" s="19">
        <f>(L229+L309+L359)</f>
        <v>0</v>
      </c>
      <c r="H660" s="19">
        <f>(L247+L328+L360)</f>
        <v>7560435.7084999979</v>
      </c>
      <c r="I660" s="19">
        <f>SUM(F660:H660)</f>
        <v>22130924.07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133564.6845</v>
      </c>
      <c r="G661" s="19">
        <f>(L359/IF(SUM(L358:L360)=0,1,SUM(L358:L360))*(SUM(G97:G110)))</f>
        <v>0</v>
      </c>
      <c r="H661" s="19">
        <f>(L360/IF(SUM(L358:L360)=0,1,SUM(L358:L360))*(SUM(G97:G110)))</f>
        <v>71919.445499999973</v>
      </c>
      <c r="I661" s="19">
        <f>SUM(F661:H661)</f>
        <v>205484.12999999998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581576.85750000004</v>
      </c>
      <c r="G662" s="19">
        <f>(L226+L306)-(J226+J306)</f>
        <v>0</v>
      </c>
      <c r="H662" s="19">
        <f>(L244+L325)-(J244+J325)</f>
        <v>376457.46250000002</v>
      </c>
      <c r="I662" s="19">
        <f>SUM(F662:H662)</f>
        <v>958034.32000000007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657711.78</v>
      </c>
      <c r="G663" s="199">
        <f>SUM(G575:G587)+SUM(I602:I604)+L612</f>
        <v>0</v>
      </c>
      <c r="H663" s="199">
        <f>SUM(H575:H587)+SUM(J602:J604)+L613</f>
        <v>479943.30000000005</v>
      </c>
      <c r="I663" s="19">
        <f>SUM(F663:H663)</f>
        <v>1137655.08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13197635.039500004</v>
      </c>
      <c r="G664" s="19">
        <f>G660-SUM(G661:G663)</f>
        <v>0</v>
      </c>
      <c r="H664" s="19">
        <f>H660-SUM(H661:H663)</f>
        <v>6632115.5004999973</v>
      </c>
      <c r="I664" s="19">
        <f>I660-SUM(I661:I663)</f>
        <v>19829750.539999999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680.64</v>
      </c>
      <c r="G665" s="248"/>
      <c r="H665" s="248">
        <v>325.76</v>
      </c>
      <c r="I665" s="19">
        <f>SUM(F665:H665)</f>
        <v>1006.4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19390.04</v>
      </c>
      <c r="G667" s="19" t="e">
        <f>ROUND(G664/G665,2)</f>
        <v>#DIV/0!</v>
      </c>
      <c r="H667" s="19">
        <f>ROUND(H664/H665,2)</f>
        <v>20358.900000000001</v>
      </c>
      <c r="I667" s="19">
        <f>ROUND(I664/I665,2)</f>
        <v>19703.650000000001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-9.33</v>
      </c>
      <c r="I670" s="19">
        <f>SUM(F670:H670)</f>
        <v>-9.33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19390.04</v>
      </c>
      <c r="G672" s="19" t="e">
        <f>ROUND((G664+G669)/(G665+G670),2)</f>
        <v>#DIV/0!</v>
      </c>
      <c r="H672" s="19">
        <f>ROUND((H664+H669)/(H665+H670),2)</f>
        <v>20959.189999999999</v>
      </c>
      <c r="I672" s="19">
        <f>ROUND((I664+I669)/(I665+I670),2)</f>
        <v>19888.02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Inter-Lakes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5737062.3499999996</v>
      </c>
      <c r="C9" s="229">
        <f>'DOE25'!G197+'DOE25'!G215+'DOE25'!G233+'DOE25'!G276+'DOE25'!G295+'DOE25'!G314</f>
        <v>2436431.5100000002</v>
      </c>
    </row>
    <row r="10" spans="1:3" x14ac:dyDescent="0.2">
      <c r="A10" t="s">
        <v>779</v>
      </c>
      <c r="B10" s="240">
        <v>5355414.6900000004</v>
      </c>
      <c r="C10" s="240">
        <v>2370063.4500000002</v>
      </c>
    </row>
    <row r="11" spans="1:3" x14ac:dyDescent="0.2">
      <c r="A11" t="s">
        <v>780</v>
      </c>
      <c r="B11" s="240">
        <v>153606.22</v>
      </c>
      <c r="C11" s="240">
        <v>43719.59</v>
      </c>
    </row>
    <row r="12" spans="1:3" x14ac:dyDescent="0.2">
      <c r="A12" t="s">
        <v>781</v>
      </c>
      <c r="B12" s="240">
        <v>228041.44</v>
      </c>
      <c r="C12" s="240">
        <v>22648.47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5737062.3500000006</v>
      </c>
      <c r="C13" s="231">
        <f>SUM(C10:C12)</f>
        <v>2436431.5100000002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2085648.21</v>
      </c>
      <c r="C18" s="229">
        <f>'DOE25'!G198+'DOE25'!G216+'DOE25'!G234+'DOE25'!G277+'DOE25'!G296+'DOE25'!G315</f>
        <v>929561.94</v>
      </c>
    </row>
    <row r="19" spans="1:3" x14ac:dyDescent="0.2">
      <c r="A19" t="s">
        <v>779</v>
      </c>
      <c r="B19" s="240">
        <v>1016970.94</v>
      </c>
      <c r="C19" s="240">
        <v>453332.67</v>
      </c>
    </row>
    <row r="20" spans="1:3" x14ac:dyDescent="0.2">
      <c r="A20" t="s">
        <v>780</v>
      </c>
      <c r="B20" s="240">
        <v>1046916.51</v>
      </c>
      <c r="C20" s="240">
        <v>473407.99</v>
      </c>
    </row>
    <row r="21" spans="1:3" x14ac:dyDescent="0.2">
      <c r="A21" t="s">
        <v>781</v>
      </c>
      <c r="B21" s="240">
        <f>10379+11381.76</f>
        <v>21760.760000000002</v>
      </c>
      <c r="C21" s="240">
        <v>2821.28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2085648.21</v>
      </c>
      <c r="C22" s="231">
        <f>SUM(C19:C21)</f>
        <v>929561.94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279548</v>
      </c>
      <c r="C36" s="235">
        <f>'DOE25'!G200+'DOE25'!G218+'DOE25'!G236+'DOE25'!G279+'DOE25'!G298+'DOE25'!G317</f>
        <v>52074.679999999993</v>
      </c>
    </row>
    <row r="37" spans="1:3" x14ac:dyDescent="0.2">
      <c r="A37" t="s">
        <v>779</v>
      </c>
      <c r="B37" s="240">
        <v>18645</v>
      </c>
      <c r="C37" s="240">
        <v>3465</v>
      </c>
    </row>
    <row r="38" spans="1:3" x14ac:dyDescent="0.2">
      <c r="A38" t="s">
        <v>780</v>
      </c>
      <c r="B38" s="240">
        <v>3756</v>
      </c>
      <c r="C38" s="240">
        <v>1212.49</v>
      </c>
    </row>
    <row r="39" spans="1:3" x14ac:dyDescent="0.2">
      <c r="A39" t="s">
        <v>781</v>
      </c>
      <c r="B39" s="240">
        <v>257147</v>
      </c>
      <c r="C39" s="240">
        <v>47397.19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279548</v>
      </c>
      <c r="C40" s="231">
        <f>SUM(C37:C39)</f>
        <v>52074.68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Inter-Lakes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12015518.949999999</v>
      </c>
      <c r="D5" s="20">
        <f>SUM('DOE25'!L197:L200)+SUM('DOE25'!L215:L218)+SUM('DOE25'!L233:L236)-F5-G5</f>
        <v>11927678.129999999</v>
      </c>
      <c r="E5" s="243"/>
      <c r="F5" s="255">
        <f>SUM('DOE25'!J197:J200)+SUM('DOE25'!J215:J218)+SUM('DOE25'!J233:J236)</f>
        <v>70847.92</v>
      </c>
      <c r="G5" s="53">
        <f>SUM('DOE25'!K197:K200)+SUM('DOE25'!K215:K218)+SUM('DOE25'!K233:K236)</f>
        <v>16992.900000000001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1522154.8199999998</v>
      </c>
      <c r="D6" s="20">
        <f>'DOE25'!L202+'DOE25'!L220+'DOE25'!L238-F6-G6</f>
        <v>1520534.5899999999</v>
      </c>
      <c r="E6" s="243"/>
      <c r="F6" s="255">
        <f>'DOE25'!J202+'DOE25'!J220+'DOE25'!J238</f>
        <v>1450.23</v>
      </c>
      <c r="G6" s="53">
        <f>'DOE25'!K202+'DOE25'!K220+'DOE25'!K238</f>
        <v>170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1363301.72</v>
      </c>
      <c r="D7" s="20">
        <f>'DOE25'!L203+'DOE25'!L221+'DOE25'!L239-F7-G7</f>
        <v>1090571.1100000001</v>
      </c>
      <c r="E7" s="243"/>
      <c r="F7" s="255">
        <f>'DOE25'!J203+'DOE25'!J221+'DOE25'!J239</f>
        <v>271917.19</v>
      </c>
      <c r="G7" s="53">
        <f>'DOE25'!K203+'DOE25'!K221+'DOE25'!K239</f>
        <v>813.42</v>
      </c>
      <c r="H7" s="259"/>
    </row>
    <row r="8" spans="1:9" x14ac:dyDescent="0.2">
      <c r="A8" s="32">
        <v>2300</v>
      </c>
      <c r="B8" t="s">
        <v>802</v>
      </c>
      <c r="C8" s="245">
        <f t="shared" si="0"/>
        <v>467348.15000000014</v>
      </c>
      <c r="D8" s="243"/>
      <c r="E8" s="20">
        <f>'DOE25'!L204+'DOE25'!L222+'DOE25'!L240-F8-G8-D9-D11</f>
        <v>458752.54000000015</v>
      </c>
      <c r="F8" s="255">
        <f>'DOE25'!J204+'DOE25'!J222+'DOE25'!J240</f>
        <v>0</v>
      </c>
      <c r="G8" s="53">
        <f>'DOE25'!K204+'DOE25'!K222+'DOE25'!K240</f>
        <v>8595.61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88162.73</v>
      </c>
      <c r="D9" s="244">
        <v>88162.73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25250</v>
      </c>
      <c r="D10" s="243"/>
      <c r="E10" s="244">
        <v>25250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334332.49</v>
      </c>
      <c r="D11" s="244">
        <v>334332.49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1309971.98</v>
      </c>
      <c r="D12" s="20">
        <f>'DOE25'!L205+'DOE25'!L223+'DOE25'!L241-F12-G12</f>
        <v>1299798.8899999999</v>
      </c>
      <c r="E12" s="243"/>
      <c r="F12" s="255">
        <f>'DOE25'!J205+'DOE25'!J223+'DOE25'!J241</f>
        <v>547.29</v>
      </c>
      <c r="G12" s="53">
        <f>'DOE25'!K205+'DOE25'!K223+'DOE25'!K241</f>
        <v>9625.7999999999993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21492.43</v>
      </c>
      <c r="D13" s="243"/>
      <c r="E13" s="20">
        <f>'DOE25'!L206+'DOE25'!L224+'DOE25'!L242-F13-G13</f>
        <v>19138.43</v>
      </c>
      <c r="F13" s="255">
        <f>'DOE25'!J206+'DOE25'!J224+'DOE25'!J242</f>
        <v>2354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2572694.2599999998</v>
      </c>
      <c r="D14" s="20">
        <f>'DOE25'!L207+'DOE25'!L225+'DOE25'!L243-F14-G14</f>
        <v>2114347.2399999998</v>
      </c>
      <c r="E14" s="243"/>
      <c r="F14" s="255">
        <f>'DOE25'!J207+'DOE25'!J225+'DOE25'!J243</f>
        <v>458032.87</v>
      </c>
      <c r="G14" s="53">
        <f>'DOE25'!K207+'DOE25'!K225+'DOE25'!K243</f>
        <v>314.14999999999998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955334.67</v>
      </c>
      <c r="D15" s="20">
        <f>'DOE25'!L208+'DOE25'!L226+'DOE25'!L244-F15-G15</f>
        <v>955334.67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693305.53</v>
      </c>
      <c r="D16" s="243"/>
      <c r="E16" s="20">
        <f>'DOE25'!L209+'DOE25'!L227+'DOE25'!L245-F16-G16</f>
        <v>693305.53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64436.89</v>
      </c>
      <c r="D22" s="243"/>
      <c r="E22" s="243"/>
      <c r="F22" s="255">
        <f>'DOE25'!L255+'DOE25'!L336</f>
        <v>64436.89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439944.17000000004</v>
      </c>
      <c r="D29" s="20">
        <f>'DOE25'!L358+'DOE25'!L359+'DOE25'!L360-'DOE25'!I367-F29-G29</f>
        <v>438693.71</v>
      </c>
      <c r="E29" s="243"/>
      <c r="F29" s="255">
        <f>'DOE25'!J358+'DOE25'!J359+'DOE25'!J360</f>
        <v>373.9</v>
      </c>
      <c r="G29" s="53">
        <f>'DOE25'!K358+'DOE25'!K359+'DOE25'!K360</f>
        <v>876.56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347362.17000000004</v>
      </c>
      <c r="D31" s="20">
        <f>'DOE25'!L290+'DOE25'!L309+'DOE25'!L328+'DOE25'!L333+'DOE25'!L334+'DOE25'!L335-F31-G31</f>
        <v>294210.61</v>
      </c>
      <c r="E31" s="243"/>
      <c r="F31" s="255">
        <f>'DOE25'!J290+'DOE25'!J309+'DOE25'!J328+'DOE25'!J333+'DOE25'!J334+'DOE25'!J335</f>
        <v>35584.53</v>
      </c>
      <c r="G31" s="53">
        <f>'DOE25'!K290+'DOE25'!K309+'DOE25'!K328+'DOE25'!K333+'DOE25'!K334+'DOE25'!K335</f>
        <v>17567.03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20063664.170000002</v>
      </c>
      <c r="E33" s="246">
        <f>SUM(E5:E31)</f>
        <v>1196446.5000000002</v>
      </c>
      <c r="F33" s="246">
        <f>SUM(F5:F31)</f>
        <v>905544.82000000007</v>
      </c>
      <c r="G33" s="246">
        <f>SUM(G5:G31)</f>
        <v>54955.469999999994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1196446.5000000002</v>
      </c>
      <c r="E35" s="249"/>
    </row>
    <row r="36" spans="2:8" ht="12" thickTop="1" x14ac:dyDescent="0.2">
      <c r="B36" t="s">
        <v>815</v>
      </c>
      <c r="D36" s="20">
        <f>D33</f>
        <v>20063664.170000002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1023186.31</v>
      </c>
      <c r="D8" s="95">
        <f>'DOE25'!G9</f>
        <v>0</v>
      </c>
      <c r="E8" s="95">
        <f>'DOE25'!H9</f>
        <v>0</v>
      </c>
      <c r="F8" s="95">
        <f>'DOE25'!I9</f>
        <v>2472026.4299999997</v>
      </c>
      <c r="G8" s="95">
        <f>'DOE25'!J9</f>
        <v>581345.82999999996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6847761.0899999999</v>
      </c>
      <c r="D11" s="95">
        <f>'DOE25'!G12</f>
        <v>3247298.72</v>
      </c>
      <c r="E11" s="95">
        <f>'DOE25'!H12</f>
        <v>3329517.85</v>
      </c>
      <c r="F11" s="95">
        <f>'DOE25'!I12</f>
        <v>22.38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-456864.84</v>
      </c>
      <c r="D12" s="95">
        <f>'DOE25'!G13</f>
        <v>18700.78</v>
      </c>
      <c r="E12" s="95">
        <f>'DOE25'!H13</f>
        <v>16617.349999999999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3317.23</v>
      </c>
      <c r="D13" s="95">
        <f>'DOE25'!G14</f>
        <v>-5527.39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92143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7509542.790000001</v>
      </c>
      <c r="D18" s="41">
        <f>SUM(D8:D17)</f>
        <v>3260472.11</v>
      </c>
      <c r="E18" s="41">
        <f>SUM(E8:E17)</f>
        <v>3346135.2</v>
      </c>
      <c r="F18" s="41">
        <f>SUM(F8:F17)</f>
        <v>2472048.8099999996</v>
      </c>
      <c r="G18" s="41">
        <f>SUM(G8:G17)</f>
        <v>606345.82999999996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6722049.2300000004</v>
      </c>
      <c r="D21" s="95">
        <f>'DOE25'!G22</f>
        <v>3241687.88</v>
      </c>
      <c r="E21" s="95">
        <f>'DOE25'!H22</f>
        <v>3320815.75</v>
      </c>
      <c r="F21" s="95">
        <f>'DOE25'!I22</f>
        <v>22.38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239373.49</v>
      </c>
      <c r="D23" s="95">
        <f>'DOE25'!G24</f>
        <v>3658.6</v>
      </c>
      <c r="E23" s="95">
        <f>'DOE25'!H24</f>
        <v>861.90000000000009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5716.08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-165.72</v>
      </c>
      <c r="E29" s="95">
        <f>'DOE25'!H30</f>
        <v>555.30999999999995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6967138.8000000007</v>
      </c>
      <c r="D31" s="41">
        <f>SUM(D21:D30)</f>
        <v>3245180.76</v>
      </c>
      <c r="E31" s="41">
        <f>SUM(E21:E30)</f>
        <v>3322232.96</v>
      </c>
      <c r="F31" s="41">
        <f>SUM(F21:F30)</f>
        <v>22.38</v>
      </c>
      <c r="G31" s="41">
        <f>SUM(G21:G30)</f>
        <v>25000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15291.35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23902.239999999998</v>
      </c>
      <c r="F47" s="95">
        <f>'DOE25'!I48</f>
        <v>2472026.4299999997</v>
      </c>
      <c r="G47" s="95">
        <f>'DOE25'!J48</f>
        <v>581345.82999999996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215077.88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252326.11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542403.99</v>
      </c>
      <c r="D50" s="41">
        <f>SUM(D34:D49)</f>
        <v>15291.35</v>
      </c>
      <c r="E50" s="41">
        <f>SUM(E34:E49)</f>
        <v>23902.239999999998</v>
      </c>
      <c r="F50" s="41">
        <f>SUM(F34:F49)</f>
        <v>2472026.4299999997</v>
      </c>
      <c r="G50" s="41">
        <f>SUM(G34:G49)</f>
        <v>581345.82999999996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7509542.790000001</v>
      </c>
      <c r="D51" s="41">
        <f>D50+D31</f>
        <v>3260472.11</v>
      </c>
      <c r="E51" s="41">
        <f>E50+E31</f>
        <v>3346135.2</v>
      </c>
      <c r="F51" s="41">
        <f>F50+F31</f>
        <v>2472048.8099999996</v>
      </c>
      <c r="G51" s="41">
        <f>G50+G31</f>
        <v>606345.82999999996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13853847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39387.35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2035.51</v>
      </c>
      <c r="D59" s="95">
        <f>'DOE25'!G96</f>
        <v>0</v>
      </c>
      <c r="E59" s="95">
        <f>'DOE25'!H96</f>
        <v>0</v>
      </c>
      <c r="F59" s="95">
        <f>'DOE25'!I96</f>
        <v>178.28</v>
      </c>
      <c r="G59" s="95">
        <f>'DOE25'!J96</f>
        <v>57.78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205484.13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39913.910000000003</v>
      </c>
      <c r="D61" s="95">
        <f>SUM('DOE25'!G98:G110)</f>
        <v>0</v>
      </c>
      <c r="E61" s="95">
        <f>SUM('DOE25'!H98:H110)</f>
        <v>111986.04000000001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81336.77</v>
      </c>
      <c r="D62" s="130">
        <f>SUM(D57:D61)</f>
        <v>205484.13</v>
      </c>
      <c r="E62" s="130">
        <f>SUM(E57:E61)</f>
        <v>111986.04000000001</v>
      </c>
      <c r="F62" s="130">
        <f>SUM(F57:F61)</f>
        <v>178.28</v>
      </c>
      <c r="G62" s="130">
        <f>SUM(G57:G61)</f>
        <v>57.78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13935183.77</v>
      </c>
      <c r="D63" s="22">
        <f>D56+D62</f>
        <v>205484.13</v>
      </c>
      <c r="E63" s="22">
        <f>E56+E62</f>
        <v>111986.04000000001</v>
      </c>
      <c r="F63" s="22">
        <f>F56+F62</f>
        <v>178.28</v>
      </c>
      <c r="G63" s="22">
        <f>G56+G62</f>
        <v>57.78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248981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6679055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6928036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65834.28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24872.51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14028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6172.63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104734.79</v>
      </c>
      <c r="D78" s="130">
        <f>SUM(D72:D77)</f>
        <v>6172.63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7032770.79</v>
      </c>
      <c r="D81" s="130">
        <f>SUM(D79:D80)+D78+D70</f>
        <v>6172.63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197782.48</v>
      </c>
      <c r="D88" s="95">
        <f>SUM('DOE25'!G153:G161)</f>
        <v>234885.06999999998</v>
      </c>
      <c r="E88" s="95">
        <f>SUM('DOE25'!H153:H161)</f>
        <v>282190.46000000002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9213.5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206995.98</v>
      </c>
      <c r="D91" s="131">
        <f>SUM(D85:D90)</f>
        <v>234885.06999999998</v>
      </c>
      <c r="E91" s="131">
        <f>SUM(E85:E90)</f>
        <v>282190.46000000002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2468617.04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5783.5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5783.5</v>
      </c>
      <c r="D103" s="86">
        <f>SUM(D93:D102)</f>
        <v>0</v>
      </c>
      <c r="E103" s="86">
        <f>SUM(E93:E102)</f>
        <v>0</v>
      </c>
      <c r="F103" s="86">
        <f>SUM(F93:F102)</f>
        <v>2468617.04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21180734.039999999</v>
      </c>
      <c r="D104" s="86">
        <f>D63+D81+D91+D103</f>
        <v>446541.82999999996</v>
      </c>
      <c r="E104" s="86">
        <f>E63+E81+E91+E103</f>
        <v>394176.5</v>
      </c>
      <c r="F104" s="86">
        <f>F63+F81+F91+F103</f>
        <v>2468795.3199999998</v>
      </c>
      <c r="G104" s="86">
        <f>G63+G81+G103</f>
        <v>75057.78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8219217.2300000004</v>
      </c>
      <c r="D109" s="24" t="s">
        <v>289</v>
      </c>
      <c r="E109" s="95">
        <f>('DOE25'!L276)+('DOE25'!L295)+('DOE25'!L314)</f>
        <v>243670.72000000003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3201752.5199999996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122839.52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471709.68</v>
      </c>
      <c r="D112" s="24" t="s">
        <v>289</v>
      </c>
      <c r="E112" s="95">
        <f>+('DOE25'!L279)+('DOE25'!L298)+('DOE25'!L317)</f>
        <v>3560.79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12015518.949999999</v>
      </c>
      <c r="D115" s="86">
        <f>SUM(D109:D114)</f>
        <v>0</v>
      </c>
      <c r="E115" s="86">
        <f>SUM(E109:E114)</f>
        <v>247231.51000000004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1522154.8199999998</v>
      </c>
      <c r="D118" s="24" t="s">
        <v>289</v>
      </c>
      <c r="E118" s="95">
        <f>+('DOE25'!L281)+('DOE25'!L300)+('DOE25'!L319)</f>
        <v>1545.9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1363301.72</v>
      </c>
      <c r="D119" s="24" t="s">
        <v>289</v>
      </c>
      <c r="E119" s="95">
        <f>+('DOE25'!L282)+('DOE25'!L301)+('DOE25'!L320)</f>
        <v>78318.079999999987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889843.37000000011</v>
      </c>
      <c r="D120" s="24" t="s">
        <v>289</v>
      </c>
      <c r="E120" s="95">
        <f>+('DOE25'!L283)+('DOE25'!L302)+('DOE25'!L321)</f>
        <v>17567.03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1309971.98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21492.43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2572694.2599999998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955334.67</v>
      </c>
      <c r="D124" s="24" t="s">
        <v>289</v>
      </c>
      <c r="E124" s="95">
        <f>+('DOE25'!L287)+('DOE25'!L306)+('DOE25'!L325)</f>
        <v>2699.65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693305.53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439944.17000000004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9328098.7799999993</v>
      </c>
      <c r="D128" s="86">
        <f>SUM(D118:D127)</f>
        <v>439944.17000000004</v>
      </c>
      <c r="E128" s="86">
        <f>SUM(E118:E127)</f>
        <v>100130.65999999997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64436.89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5783.5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75057.78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-57.779999999998836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75000</v>
      </c>
      <c r="D144" s="141">
        <f>SUM(D130:D143)</f>
        <v>0</v>
      </c>
      <c r="E144" s="141">
        <f>SUM(E130:E143)</f>
        <v>64436.89</v>
      </c>
      <c r="F144" s="141">
        <f>SUM(F130:F143)</f>
        <v>0</v>
      </c>
      <c r="G144" s="141">
        <f>SUM(G130:G143)</f>
        <v>5783.5</v>
      </c>
    </row>
    <row r="145" spans="1:9" ht="12.75" thickTop="1" thickBot="1" x14ac:dyDescent="0.25">
      <c r="A145" s="33" t="s">
        <v>244</v>
      </c>
      <c r="C145" s="86">
        <f>(C115+C128+C144)</f>
        <v>21418617.729999997</v>
      </c>
      <c r="D145" s="86">
        <f>(D115+D128+D144)</f>
        <v>439944.17000000004</v>
      </c>
      <c r="E145" s="86">
        <f>(E115+E128+E144)</f>
        <v>411799.06000000006</v>
      </c>
      <c r="F145" s="86">
        <f>(F115+F128+F144)</f>
        <v>0</v>
      </c>
      <c r="G145" s="86">
        <f>(G115+G128+G144)</f>
        <v>5783.5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Inter-Lakes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19390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20959</v>
      </c>
    </row>
    <row r="7" spans="1:4" x14ac:dyDescent="0.2">
      <c r="B7" t="s">
        <v>705</v>
      </c>
      <c r="C7" s="179">
        <f>IF('DOE25'!I665+'DOE25'!I670=0,0,ROUND('DOE25'!I672,0))</f>
        <v>19888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8462888</v>
      </c>
      <c r="D10" s="182">
        <f>ROUND((C10/$C$28)*100,1)</f>
        <v>38.6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3201753</v>
      </c>
      <c r="D11" s="182">
        <f>ROUND((C11/$C$28)*100,1)</f>
        <v>14.6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122840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475270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1523701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1441620</v>
      </c>
      <c r="D16" s="182">
        <f t="shared" si="0"/>
        <v>6.6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1600716</v>
      </c>
      <c r="D17" s="182">
        <f t="shared" si="0"/>
        <v>7.3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1309972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21492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2572694</v>
      </c>
      <c r="D20" s="182">
        <f t="shared" si="0"/>
        <v>11.7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958034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234459.87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21925439.870000001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64437</v>
      </c>
    </row>
    <row r="30" spans="1:4" x14ac:dyDescent="0.2">
      <c r="B30" s="187" t="s">
        <v>729</v>
      </c>
      <c r="C30" s="180">
        <f>SUM(C28:C29)</f>
        <v>21989876.870000001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13853847</v>
      </c>
      <c r="D35" s="182">
        <f t="shared" ref="D35:D40" si="1">ROUND((C35/$C$41)*100,1)</f>
        <v>63.5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193558.86999999732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6928036</v>
      </c>
      <c r="D37" s="182">
        <f t="shared" si="1"/>
        <v>31.8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110907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724072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21810420.869999997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2468617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6" sqref="C26:M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Inter-Lakes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1</v>
      </c>
      <c r="B4" s="219">
        <v>5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7</v>
      </c>
      <c r="B5" s="219">
        <v>12</v>
      </c>
      <c r="C5" s="286" t="s">
        <v>913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9</v>
      </c>
      <c r="B6" s="219">
        <v>12</v>
      </c>
      <c r="C6" s="274" t="s">
        <v>913</v>
      </c>
      <c r="D6" s="274"/>
      <c r="E6" s="274"/>
      <c r="F6" s="274"/>
      <c r="G6" s="274"/>
      <c r="H6" s="274"/>
      <c r="I6" s="274"/>
      <c r="J6" s="274"/>
      <c r="K6" s="274"/>
      <c r="L6" s="274"/>
      <c r="M6" s="27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14</v>
      </c>
      <c r="B7" s="219">
        <v>5</v>
      </c>
      <c r="C7" s="274" t="s">
        <v>914</v>
      </c>
      <c r="D7" s="274"/>
      <c r="E7" s="274"/>
      <c r="F7" s="274"/>
      <c r="G7" s="274"/>
      <c r="H7" s="274"/>
      <c r="I7" s="274"/>
      <c r="J7" s="274"/>
      <c r="K7" s="274"/>
      <c r="L7" s="274"/>
      <c r="M7" s="27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30A" sheet="1" objects="1" scenarios="1"/>
  <mergeCells count="221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2015-09-03T18:01:12Z</cp:lastPrinted>
  <dcterms:created xsi:type="dcterms:W3CDTF">1997-12-04T19:04:30Z</dcterms:created>
  <dcterms:modified xsi:type="dcterms:W3CDTF">2015-11-25T18:31:58Z</dcterms:modified>
</cp:coreProperties>
</file>