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8" i="12" l="1"/>
  <c r="B37" i="12"/>
  <c r="B39" i="12"/>
  <c r="F521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3" i="1"/>
  <c r="G523" i="1"/>
  <c r="F523" i="1"/>
  <c r="I522" i="1"/>
  <c r="G522" i="1"/>
  <c r="F522" i="1"/>
  <c r="I521" i="1"/>
  <c r="G521" i="1"/>
  <c r="H543" i="1" l="1"/>
  <c r="H542" i="1"/>
  <c r="H541" i="1"/>
  <c r="F611" i="1"/>
  <c r="I613" i="1"/>
  <c r="I612" i="1"/>
  <c r="I611" i="1"/>
  <c r="H613" i="1"/>
  <c r="H612" i="1"/>
  <c r="H611" i="1"/>
  <c r="G613" i="1"/>
  <c r="G612" i="1"/>
  <c r="G611" i="1"/>
  <c r="F612" i="1"/>
  <c r="F613" i="1"/>
  <c r="I604" i="1"/>
  <c r="J604" i="1"/>
  <c r="H604" i="1"/>
  <c r="J216" i="1"/>
  <c r="J225" i="1"/>
  <c r="I225" i="1"/>
  <c r="H244" i="1"/>
  <c r="H226" i="1"/>
  <c r="H208" i="1"/>
  <c r="H592" i="1" l="1"/>
  <c r="H595" i="1"/>
  <c r="J592" i="1"/>
  <c r="I507" i="1"/>
  <c r="I516" i="1" l="1"/>
  <c r="G516" i="1"/>
  <c r="H415" i="1"/>
  <c r="J96" i="1"/>
  <c r="F456" i="1"/>
  <c r="H155" i="1"/>
  <c r="H29" i="1"/>
  <c r="F243" i="1" l="1"/>
  <c r="J245" i="1"/>
  <c r="F245" i="1"/>
  <c r="I245" i="1"/>
  <c r="H245" i="1"/>
  <c r="G245" i="1"/>
  <c r="I244" i="1"/>
  <c r="K243" i="1"/>
  <c r="J243" i="1"/>
  <c r="I243" i="1"/>
  <c r="H243" i="1"/>
  <c r="G243" i="1"/>
  <c r="K242" i="1"/>
  <c r="J242" i="1"/>
  <c r="I242" i="1"/>
  <c r="H242" i="1"/>
  <c r="G242" i="1"/>
  <c r="F242" i="1"/>
  <c r="H241" i="1"/>
  <c r="K240" i="1"/>
  <c r="I240" i="1"/>
  <c r="H240" i="1"/>
  <c r="G240" i="1"/>
  <c r="F240" i="1"/>
  <c r="I239" i="1"/>
  <c r="H239" i="1"/>
  <c r="G239" i="1"/>
  <c r="F239" i="1"/>
  <c r="I238" i="1"/>
  <c r="G238" i="1"/>
  <c r="F238" i="1"/>
  <c r="K234" i="1"/>
  <c r="J234" i="1"/>
  <c r="I234" i="1"/>
  <c r="H234" i="1"/>
  <c r="G234" i="1"/>
  <c r="F234" i="1"/>
  <c r="H233" i="1"/>
  <c r="G233" i="1"/>
  <c r="J227" i="1"/>
  <c r="I227" i="1"/>
  <c r="H227" i="1"/>
  <c r="G227" i="1"/>
  <c r="F227" i="1"/>
  <c r="I226" i="1"/>
  <c r="K225" i="1"/>
  <c r="H225" i="1"/>
  <c r="G225" i="1"/>
  <c r="F225" i="1"/>
  <c r="K224" i="1"/>
  <c r="J224" i="1"/>
  <c r="H224" i="1"/>
  <c r="G224" i="1"/>
  <c r="F224" i="1"/>
  <c r="H223" i="1"/>
  <c r="K222" i="1"/>
  <c r="I222" i="1"/>
  <c r="H222" i="1"/>
  <c r="G222" i="1"/>
  <c r="F222" i="1"/>
  <c r="K221" i="1"/>
  <c r="I221" i="1"/>
  <c r="H221" i="1"/>
  <c r="G221" i="1"/>
  <c r="F221" i="1"/>
  <c r="I220" i="1"/>
  <c r="G220" i="1"/>
  <c r="F220" i="1"/>
  <c r="K216" i="1"/>
  <c r="I216" i="1"/>
  <c r="H216" i="1"/>
  <c r="G216" i="1"/>
  <c r="F216" i="1"/>
  <c r="J215" i="1"/>
  <c r="I215" i="1"/>
  <c r="H215" i="1"/>
  <c r="G215" i="1"/>
  <c r="F215" i="1"/>
  <c r="J209" i="1"/>
  <c r="I209" i="1"/>
  <c r="H209" i="1"/>
  <c r="G209" i="1"/>
  <c r="F209" i="1"/>
  <c r="I208" i="1"/>
  <c r="K207" i="1"/>
  <c r="J207" i="1"/>
  <c r="I207" i="1"/>
  <c r="H207" i="1"/>
  <c r="G207" i="1"/>
  <c r="F207" i="1"/>
  <c r="K206" i="1"/>
  <c r="J206" i="1"/>
  <c r="I206" i="1"/>
  <c r="H206" i="1"/>
  <c r="G206" i="1"/>
  <c r="H205" i="1"/>
  <c r="K204" i="1"/>
  <c r="I204" i="1"/>
  <c r="H204" i="1"/>
  <c r="G204" i="1"/>
  <c r="K203" i="1"/>
  <c r="I203" i="1"/>
  <c r="G203" i="1"/>
  <c r="F203" i="1"/>
  <c r="I202" i="1"/>
  <c r="G202" i="1"/>
  <c r="F202" i="1"/>
  <c r="J198" i="1"/>
  <c r="I198" i="1"/>
  <c r="H198" i="1"/>
  <c r="G198" i="1"/>
  <c r="F198" i="1"/>
  <c r="H197" i="1"/>
  <c r="G197" i="1"/>
  <c r="H472" i="1"/>
  <c r="H468" i="1"/>
  <c r="F29" i="1"/>
  <c r="F17" i="1"/>
  <c r="F1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H662" i="1" s="1"/>
  <c r="F17" i="13"/>
  <c r="G17" i="13"/>
  <c r="D17" i="13" s="1"/>
  <c r="C17" i="13" s="1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H461" i="1" s="1"/>
  <c r="H641" i="1" s="1"/>
  <c r="J641" i="1" s="1"/>
  <c r="G461" i="1"/>
  <c r="H640" i="1" s="1"/>
  <c r="J640" i="1" s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I571" i="1" s="1"/>
  <c r="J570" i="1"/>
  <c r="J571" i="1" s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G643" i="1"/>
  <c r="H643" i="1"/>
  <c r="G644" i="1"/>
  <c r="G652" i="1"/>
  <c r="H652" i="1"/>
  <c r="G653" i="1"/>
  <c r="H653" i="1"/>
  <c r="G654" i="1"/>
  <c r="H654" i="1"/>
  <c r="H655" i="1"/>
  <c r="G164" i="2"/>
  <c r="C26" i="10"/>
  <c r="L351" i="1"/>
  <c r="C70" i="2"/>
  <c r="D62" i="2"/>
  <c r="D63" i="2" s="1"/>
  <c r="D18" i="13"/>
  <c r="C18" i="13" s="1"/>
  <c r="C91" i="2"/>
  <c r="F78" i="2"/>
  <c r="F81" i="2" s="1"/>
  <c r="F18" i="2"/>
  <c r="E103" i="2"/>
  <c r="D19" i="13"/>
  <c r="C19" i="13" s="1"/>
  <c r="E78" i="2"/>
  <c r="E81" i="2" s="1"/>
  <c r="L419" i="1"/>
  <c r="I169" i="1"/>
  <c r="J643" i="1"/>
  <c r="J476" i="1"/>
  <c r="H626" i="1" s="1"/>
  <c r="F476" i="1"/>
  <c r="H622" i="1" s="1"/>
  <c r="J622" i="1" s="1"/>
  <c r="J140" i="1"/>
  <c r="I552" i="1"/>
  <c r="G22" i="2"/>
  <c r="C29" i="10"/>
  <c r="H140" i="1"/>
  <c r="L401" i="1"/>
  <c r="C139" i="2" s="1"/>
  <c r="L393" i="1"/>
  <c r="F22" i="13"/>
  <c r="C22" i="13" s="1"/>
  <c r="H25" i="13"/>
  <c r="C25" i="13" s="1"/>
  <c r="L560" i="1"/>
  <c r="H192" i="1"/>
  <c r="J636" i="1"/>
  <c r="G36" i="2"/>
  <c r="C138" i="2"/>
  <c r="A40" i="12" l="1"/>
  <c r="A31" i="12"/>
  <c r="A13" i="12"/>
  <c r="F552" i="1"/>
  <c r="L524" i="1"/>
  <c r="G545" i="1"/>
  <c r="G552" i="1"/>
  <c r="K551" i="1"/>
  <c r="I545" i="1"/>
  <c r="L529" i="1"/>
  <c r="K550" i="1"/>
  <c r="H545" i="1"/>
  <c r="H552" i="1"/>
  <c r="K549" i="1"/>
  <c r="L534" i="1"/>
  <c r="L544" i="1"/>
  <c r="L539" i="1"/>
  <c r="L614" i="1"/>
  <c r="J649" i="1"/>
  <c r="L427" i="1"/>
  <c r="D50" i="2"/>
  <c r="D51" i="2" s="1"/>
  <c r="L570" i="1"/>
  <c r="L571" i="1" s="1"/>
  <c r="F571" i="1"/>
  <c r="G161" i="2"/>
  <c r="K503" i="1"/>
  <c r="K500" i="1"/>
  <c r="G62" i="2"/>
  <c r="G63" i="2" s="1"/>
  <c r="J112" i="1"/>
  <c r="J193" i="1" s="1"/>
  <c r="G646" i="1" s="1"/>
  <c r="C35" i="10"/>
  <c r="C36" i="10" s="1"/>
  <c r="G645" i="1"/>
  <c r="J655" i="1"/>
  <c r="J645" i="1"/>
  <c r="I460" i="1"/>
  <c r="I461" i="1" s="1"/>
  <c r="H642" i="1" s="1"/>
  <c r="J639" i="1"/>
  <c r="I446" i="1"/>
  <c r="G642" i="1" s="1"/>
  <c r="H408" i="1"/>
  <c r="H644" i="1" s="1"/>
  <c r="J644" i="1" s="1"/>
  <c r="E31" i="2"/>
  <c r="L328" i="1"/>
  <c r="E119" i="2"/>
  <c r="E118" i="2"/>
  <c r="E112" i="2"/>
  <c r="E110" i="2"/>
  <c r="L309" i="1"/>
  <c r="H338" i="1"/>
  <c r="H352" i="1" s="1"/>
  <c r="G338" i="1"/>
  <c r="G352" i="1" s="1"/>
  <c r="F338" i="1"/>
  <c r="F352" i="1" s="1"/>
  <c r="E109" i="2"/>
  <c r="C13" i="10"/>
  <c r="K338" i="1"/>
  <c r="K352" i="1" s="1"/>
  <c r="J338" i="1"/>
  <c r="J352" i="1" s="1"/>
  <c r="L290" i="1"/>
  <c r="H52" i="1"/>
  <c r="H619" i="1" s="1"/>
  <c r="J634" i="1"/>
  <c r="D29" i="13"/>
  <c r="C29" i="13" s="1"/>
  <c r="H661" i="1"/>
  <c r="G661" i="1"/>
  <c r="D127" i="2"/>
  <c r="D128" i="2" s="1"/>
  <c r="D145" i="2" s="1"/>
  <c r="F661" i="1"/>
  <c r="L362" i="1"/>
  <c r="C27" i="10" s="1"/>
  <c r="C11" i="10"/>
  <c r="E13" i="13"/>
  <c r="C13" i="13" s="1"/>
  <c r="J623" i="1"/>
  <c r="D31" i="2"/>
  <c r="I476" i="1"/>
  <c r="H625" i="1" s="1"/>
  <c r="J625" i="1" s="1"/>
  <c r="H476" i="1"/>
  <c r="H624" i="1" s="1"/>
  <c r="J624" i="1" s="1"/>
  <c r="J617" i="1"/>
  <c r="C18" i="2"/>
  <c r="C25" i="10"/>
  <c r="H33" i="13"/>
  <c r="C81" i="2"/>
  <c r="C62" i="2"/>
  <c r="F112" i="1"/>
  <c r="C56" i="2"/>
  <c r="L256" i="1"/>
  <c r="G651" i="1"/>
  <c r="J651" i="1" s="1"/>
  <c r="C19" i="10"/>
  <c r="E8" i="13"/>
  <c r="C8" i="13" s="1"/>
  <c r="C112" i="2"/>
  <c r="C12" i="10"/>
  <c r="C15" i="10"/>
  <c r="H647" i="1"/>
  <c r="J647" i="1" s="1"/>
  <c r="C124" i="2"/>
  <c r="G662" i="1"/>
  <c r="C123" i="2"/>
  <c r="C120" i="2"/>
  <c r="K257" i="1"/>
  <c r="K271" i="1" s="1"/>
  <c r="C119" i="2"/>
  <c r="C16" i="10"/>
  <c r="C111" i="2"/>
  <c r="L247" i="1"/>
  <c r="C110" i="2"/>
  <c r="J257" i="1"/>
  <c r="J271" i="1" s="1"/>
  <c r="G257" i="1"/>
  <c r="G271" i="1" s="1"/>
  <c r="C10" i="10"/>
  <c r="F257" i="1"/>
  <c r="F271" i="1" s="1"/>
  <c r="F662" i="1"/>
  <c r="C21" i="10"/>
  <c r="D15" i="13"/>
  <c r="C15" i="13" s="1"/>
  <c r="C20" i="10"/>
  <c r="D14" i="13"/>
  <c r="C14" i="13" s="1"/>
  <c r="C122" i="2"/>
  <c r="D7" i="13"/>
  <c r="C7" i="13" s="1"/>
  <c r="D6" i="13"/>
  <c r="C6" i="13" s="1"/>
  <c r="C118" i="2"/>
  <c r="D5" i="13"/>
  <c r="C5" i="13" s="1"/>
  <c r="C109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F104" i="2"/>
  <c r="H193" i="1"/>
  <c r="G629" i="1" s="1"/>
  <c r="J629" i="1" s="1"/>
  <c r="G169" i="1"/>
  <c r="C39" i="10" s="1"/>
  <c r="G140" i="1"/>
  <c r="F140" i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K552" i="1" l="1"/>
  <c r="L545" i="1"/>
  <c r="G104" i="2"/>
  <c r="J642" i="1"/>
  <c r="E51" i="2"/>
  <c r="E128" i="2"/>
  <c r="H660" i="1"/>
  <c r="H664" i="1" s="1"/>
  <c r="H672" i="1" s="1"/>
  <c r="C6" i="10" s="1"/>
  <c r="L338" i="1"/>
  <c r="L352" i="1" s="1"/>
  <c r="G633" i="1" s="1"/>
  <c r="J633" i="1" s="1"/>
  <c r="E115" i="2"/>
  <c r="D31" i="13"/>
  <c r="C31" i="13" s="1"/>
  <c r="G635" i="1"/>
  <c r="J635" i="1" s="1"/>
  <c r="I661" i="1"/>
  <c r="F193" i="1"/>
  <c r="G627" i="1" s="1"/>
  <c r="J627" i="1" s="1"/>
  <c r="C63" i="2"/>
  <c r="C104" i="2" s="1"/>
  <c r="I662" i="1"/>
  <c r="C115" i="2"/>
  <c r="H648" i="1"/>
  <c r="J648" i="1" s="1"/>
  <c r="F660" i="1"/>
  <c r="F664" i="1" s="1"/>
  <c r="F672" i="1" s="1"/>
  <c r="C4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E145" i="2" l="1"/>
  <c r="H667" i="1"/>
  <c r="F667" i="1"/>
  <c r="C41" i="10"/>
  <c r="D38" i="10" s="1"/>
  <c r="D37" i="10" l="1"/>
  <c r="D36" i="10"/>
  <c r="D35" i="10"/>
  <c r="D40" i="10"/>
  <c r="D39" i="10"/>
  <c r="D41" i="10" l="1"/>
  <c r="H229" i="1"/>
  <c r="H257" i="1" s="1"/>
  <c r="H271" i="1" s="1"/>
  <c r="L223" i="1"/>
  <c r="D12" i="13" s="1"/>
  <c r="C12" i="13" s="1"/>
  <c r="C18" i="10" l="1"/>
  <c r="C121" i="2"/>
  <c r="D33" i="13"/>
  <c r="D36" i="13" s="1"/>
  <c r="I229" i="1"/>
  <c r="I257" i="1" s="1"/>
  <c r="I271" i="1" s="1"/>
  <c r="L227" i="1"/>
  <c r="C125" i="2" s="1"/>
  <c r="C128" i="2" l="1"/>
  <c r="C145" i="2" s="1"/>
  <c r="C17" i="10"/>
  <c r="L229" i="1"/>
  <c r="E16" i="13"/>
  <c r="C28" i="10" l="1"/>
  <c r="E33" i="13"/>
  <c r="D35" i="13" s="1"/>
  <c r="C16" i="13"/>
  <c r="L257" i="1"/>
  <c r="L271" i="1" s="1"/>
  <c r="G632" i="1" s="1"/>
  <c r="G660" i="1"/>
  <c r="J632" i="1" l="1"/>
  <c r="H656" i="1"/>
  <c r="D25" i="10"/>
  <c r="D18" i="10"/>
  <c r="D21" i="10"/>
  <c r="D19" i="10"/>
  <c r="D10" i="10"/>
  <c r="D13" i="10"/>
  <c r="D26" i="10"/>
  <c r="D24" i="10"/>
  <c r="D12" i="10"/>
  <c r="D22" i="10"/>
  <c r="D16" i="10"/>
  <c r="D27" i="10"/>
  <c r="C30" i="10"/>
  <c r="D11" i="10"/>
  <c r="D15" i="10"/>
  <c r="D23" i="10"/>
  <c r="D20" i="10"/>
  <c r="I660" i="1"/>
  <c r="I664" i="1" s="1"/>
  <c r="G664" i="1"/>
  <c r="D17" i="10"/>
  <c r="I672" i="1" l="1"/>
  <c r="C7" i="10" s="1"/>
  <c r="I667" i="1"/>
  <c r="D28" i="10"/>
  <c r="G672" i="1"/>
  <c r="C5" i="10" s="1"/>
  <c r="G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<sst xmlns="http://schemas.openxmlformats.org/spreadsheetml/2006/main" count="3963" uniqueCount="919">
  <si>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</si>
  <si>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</si>
  <si>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</si>
  <si>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</si>
  <si>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</si>
  <si>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</si>
  <si>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</si>
  <si>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</si>
  <si>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</si>
  <si>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</si>
  <si>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</si>
  <si>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</si>
  <si>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</si>
  <si>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</si>
  <si>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</si>
  <si>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</si>
  <si>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</si>
  <si>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</si>
  <si>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</si>
  <si>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</si>
  <si>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</si>
  <si>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</si>
  <si>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</si>
  <si>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</si>
  <si>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</si>
  <si>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</si>
  <si>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</si>
  <si>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</si>
  <si>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</si>
  <si>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</si>
  <si>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</si>
  <si>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</si>
  <si>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</si>
  <si>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</si>
  <si>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</si>
  <si>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</si>
  <si>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</si>
  <si>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</si>
  <si>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</si>
  <si>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</si>
  <si>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</si>
  <si>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</si>
  <si>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</si>
  <si>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</si>
  <si>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</si>
  <si>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</si>
  <si>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</si>
  <si>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</si>
  <si>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</si>
  <si>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</si>
  <si>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</si>
  <si>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</si>
  <si>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</si>
  <si>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</si>
  <si>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</si>
  <si>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</si>
  <si>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</si>
  <si>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</si>
  <si>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</si>
  <si>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</si>
  <si>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</si>
  <si>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</si>
  <si>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</si>
  <si>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</si>
  <si>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</si>
  <si>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</si>
  <si>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</si>
  <si>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</si>
  <si>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</si>
  <si>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</si>
  <si>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</si>
  <si>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</si>
  <si>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</si>
  <si>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</si>
  <si>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</si>
  <si>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</si>
  <si>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</si>
  <si>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</si>
  <si>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</si>
  <si>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</si>
  <si>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</si>
  <si>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</si>
  <si>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</si>
  <si>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</si>
  <si>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</si>
  <si>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</si>
  <si>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</si>
  <si>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</si>
  <si>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</si>
  <si>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</si>
  <si>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</si>
  <si>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</si>
  <si>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</si>
  <si>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</si>
  <si>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</si>
  <si>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</si>
  <si>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</si>
  <si>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</si>
  <si>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</si>
  <si>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</si>
  <si>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</si>
  <si>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</si>
  <si>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</si>
  <si>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</si>
  <si>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</si>
  <si>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</si>
  <si>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</si>
  <si>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</si>
  <si>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</si>
  <si>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</si>
  <si>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</si>
  <si>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</si>
  <si>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</si>
  <si>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</si>
  <si>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</si>
  <si>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</si>
  <si>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</si>
  <si>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</si>
  <si>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</si>
  <si>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</si>
  <si>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</si>
  <si>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</si>
  <si>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</si>
  <si>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</si>
  <si>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</si>
  <si>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</si>
  <si>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</si>
  <si>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</si>
  <si>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</si>
  <si>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</si>
  <si>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</si>
  <si>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</si>
  <si>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</si>
  <si>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</si>
  <si>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</si>
  <si>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</si>
  <si>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</si>
  <si>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</si>
  <si>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</si>
  <si>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</si>
  <si>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</si>
  <si>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</si>
  <si>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</si>
  <si>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</si>
  <si>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</si>
  <si>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</si>
  <si>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</si>
  <si>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</si>
  <si>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</si>
  <si>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</si>
  <si>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</si>
  <si>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</si>
  <si>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</si>
  <si>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</si>
  <si>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</si>
  <si>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</si>
  <si>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</si>
  <si>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</si>
  <si>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</si>
  <si>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</si>
  <si>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</si>
  <si>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</si>
  <si>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</si>
  <si>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</si>
  <si>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</si>
  <si>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</si>
  <si>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</si>
  <si>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</si>
  <si>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</si>
  <si>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</si>
  <si>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</si>
  <si>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</si>
  <si>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</si>
  <si>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</si>
  <si>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</si>
  <si>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</si>
  <si>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</si>
  <si>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</si>
  <si>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</si>
  <si>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</si>
  <si>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</si>
  <si>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</si>
  <si>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</si>
  <si>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</si>
  <si>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</si>
  <si>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</si>
  <si>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</si>
  <si>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</si>
  <si>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</si>
  <si>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</si>
  <si>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</si>
  <si>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</si>
  <si>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</si>
  <si>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</si>
  <si>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</si>
  <si>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</si>
  <si>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</si>
  <si>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</si>
  <si>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</si>
  <si>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</si>
  <si>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</si>
  <si>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</si>
  <si>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</si>
  <si>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</si>
  <si>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</si>
  <si>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</si>
  <si>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</si>
  <si>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</si>
  <si>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</si>
  <si>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</si>
  <si>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</si>
  <si>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</si>
  <si>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</si>
  <si>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</si>
  <si>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</si>
  <si>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</si>
  <si>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</si>
  <si>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</si>
  <si>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</si>
  <si>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</si>
  <si>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</si>
  <si>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</si>
  <si>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</si>
  <si>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</si>
  <si>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</si>
  <si>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</si>
  <si>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</si>
  <si>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</si>
  <si>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</si>
  <si>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</si>
  <si>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</si>
  <si>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</si>
  <si>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</si>
  <si>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</si>
  <si>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</si>
  <si>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</si>
  <si>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</si>
  <si>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</si>
  <si>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</si>
  <si>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</si>
  <si>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</si>
  <si>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</si>
  <si>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</si>
  <si>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</si>
  <si>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</si>
  <si>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</si>
  <si>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</si>
  <si>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</si>
  <si>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</si>
  <si>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</si>
  <si>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</si>
  <si>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</si>
  <si>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</si>
  <si>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</si>
  <si>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</si>
  <si>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</si>
  <si>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</si>
  <si>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</si>
  <si>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</si>
  <si>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</si>
  <si>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</si>
  <si>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</si>
  <si>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</si>
  <si>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</si>
  <si>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</si>
  <si>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</si>
  <si>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</si>
  <si>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</si>
  <si>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</si>
  <si>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</si>
  <si>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</si>
  <si>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</si>
  <si>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</si>
  <si>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</si>
  <si>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</si>
  <si>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</si>
  <si>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</si>
  <si>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</si>
  <si>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</si>
  <si>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</si>
  <si>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</si>
  <si>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</si>
  <si>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</si>
  <si>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</si>
  <si>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</si>
  <si>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</si>
  <si>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</si>
  <si>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</si>
  <si>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</si>
  <si>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</si>
  <si>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</si>
  <si>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</si>
  <si>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</si>
  <si>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</si>
  <si>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</si>
  <si>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</si>
  <si>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</si>
  <si>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</si>
  <si>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</si>
  <si>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</si>
  <si>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</si>
  <si>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</si>
  <si>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</si>
  <si>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</si>
  <si>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</si>
  <si>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</si>
  <si>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</si>
  <si>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</si>
  <si>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</si>
  <si>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</si>
  <si>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</si>
  <si>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</si>
  <si>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</si>
  <si>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</si>
  <si>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</si>
  <si>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</si>
  <si>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</si>
  <si>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</si>
  <si>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</si>
  <si>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</si>
  <si>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</si>
  <si>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</si>
  <si>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</si>
  <si>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</si>
  <si>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</si>
  <si>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</si>
  <si>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</si>
  <si>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</si>
  <si>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</si>
  <si>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</si>
  <si>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</si>
  <si>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</si>
  <si>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</si>
  <si>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</si>
  <si>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</si>
  <si>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</si>
  <si>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</si>
  <si>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</si>
  <si>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</si>
  <si>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</si>
  <si>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</si>
  <si>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</si>
  <si>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</si>
  <si>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</si>
  <si>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</si>
  <si>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</si>
  <si>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</si>
  <si>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</si>
  <si>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</si>
  <si>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</si>
  <si>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</si>
  <si>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</si>
  <si>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</si>
  <si>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</si>
  <si>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</si>
  <si>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</si>
  <si>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</si>
  <si>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</si>
  <si>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</si>
  <si>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</si>
  <si>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</si>
  <si>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</si>
  <si>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</si>
  <si>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</si>
  <si>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</si>
  <si>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</si>
  <si>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</si>
  <si>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</si>
  <si>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</si>
  <si>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</si>
  <si>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</si>
  <si>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</si>
  <si>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</si>
  <si>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</si>
  <si>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</si>
  <si>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</si>
  <si>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</si>
  <si>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</si>
  <si>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</si>
  <si>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</si>
  <si>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</si>
  <si>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</si>
  <si>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</si>
  <si>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</si>
  <si>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</si>
  <si>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</si>
  <si>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</si>
  <si>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</si>
  <si>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</si>
  <si>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</si>
  <si>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</si>
  <si>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</si>
  <si>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</si>
  <si>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</si>
  <si>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</si>
  <si>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</si>
  <si>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</si>
  <si>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</si>
  <si>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</si>
  <si>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</si>
  <si>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</si>
  <si>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</si>
  <si>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</si>
  <si>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</si>
  <si>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</si>
  <si>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</si>
  <si>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</si>
  <si>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</si>
  <si>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</si>
  <si>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</si>
  <si>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</si>
  <si>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</si>
  <si>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</si>
  <si>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</si>
  <si>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</si>
  <si>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</si>
  <si>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</si>
  <si>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</si>
  <si>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</si>
  <si>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</si>
  <si>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</si>
  <si>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</si>
  <si>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</si>
  <si>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</si>
  <si>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</si>
  <si>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</si>
  <si>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</si>
  <si>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</si>
  <si>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</si>
  <si>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</si>
  <si>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</si>
  <si>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</si>
  <si>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</si>
  <si>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</si>
  <si>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</si>
  <si>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</si>
  <si>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</si>
  <si>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</si>
  <si>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</si>
  <si>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</si>
  <si>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</si>
  <si>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</si>
  <si>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</si>
  <si>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</si>
  <si>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</si>
  <si>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</si>
  <si>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</si>
  <si>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</si>
  <si>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</si>
  <si>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</si>
  <si>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</si>
  <si>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</si>
  <si>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</si>
  <si>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</si>
  <si>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</si>
  <si>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</si>
  <si>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</si>
  <si>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</si>
  <si>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</si>
  <si>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</si>
  <si>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</si>
  <si>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</si>
  <si>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</si>
  <si>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</si>
  <si>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</si>
  <si>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</si>
  <si>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</si>
  <si>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</si>
  <si>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</si>
  <si>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</si>
  <si>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</si>
  <si>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</si>
  <si>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</si>
  <si>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</si>
  <si>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</si>
  <si>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</si>
  <si>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</si>
  <si>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</si>
  <si>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</si>
  <si>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</si>
  <si>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</si>
  <si>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</si>
  <si>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</si>
  <si>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</si>
  <si>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</si>
  <si>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</si>
  <si>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</si>
  <si>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</si>
  <si>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</si>
  <si>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</si>
  <si>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</si>
  <si>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</si>
  <si>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</si>
  <si>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</si>
  <si>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</si>
  <si>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</si>
  <si>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</si>
  <si>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</si>
  <si>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</si>
  <si>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</si>
  <si>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</si>
  <si>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</si>
  <si>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</si>
  <si>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</si>
  <si>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</si>
  <si>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</si>
  <si>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</si>
  <si>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</si>
  <si>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</si>
  <si>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</si>
  <si>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</si>
  <si>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</si>
  <si>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</si>
  <si>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</si>
  <si>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</si>
  <si>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</si>
  <si>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</si>
  <si>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</si>
  <si>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</si>
  <si>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</si>
  <si>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</si>
  <si>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</si>
  <si>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</si>
  <si>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</si>
  <si>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</si>
  <si>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</si>
  <si>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</si>
  <si>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</si>
  <si>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</si>
  <si>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</si>
  <si>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</si>
  <si>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</si>
  <si>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</si>
  <si>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</si>
  <si>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</si>
  <si>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</si>
  <si>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</si>
  <si>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</si>
  <si>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</si>
  <si>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</si>
  <si>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</si>
  <si>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</si>
  <si>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</si>
  <si>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</si>
  <si>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</si>
  <si>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</si>
  <si>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</si>
  <si>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</si>
  <si>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</si>
  <si>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</si>
  <si>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</si>
  <si>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</si>
  <si>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</si>
  <si>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</si>
  <si>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</si>
  <si>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</si>
  <si>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</si>
  <si>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</si>
  <si>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</si>
  <si>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</si>
  <si>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</si>
  <si>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</si>
  <si>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</si>
  <si>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</si>
  <si>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</si>
  <si>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</si>
  <si>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</si>
  <si>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</si>
  <si>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</si>
  <si>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</si>
  <si>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</si>
  <si>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</si>
  <si>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</si>
  <si>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</si>
  <si>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</si>
  <si>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</si>
  <si>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</si>
  <si>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</si>
  <si>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</si>
  <si>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</si>
  <si>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</si>
  <si>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</si>
  <si>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</si>
  <si>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</si>
  <si>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</si>
  <si>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</si>
  <si>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</si>
  <si>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</si>
  <si>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</si>
  <si>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</si>
  <si>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</si>
  <si>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</si>
  <si>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</si>
  <si>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</si>
  <si>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</si>
  <si>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</si>
  <si>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</si>
  <si>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</si>
  <si>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</si>
  <si>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</si>
  <si>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</si>
  <si>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</si>
  <si>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</si>
  <si>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</si>
  <si>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</si>
  <si>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</si>
  <si>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</si>
  <si>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</si>
  <si>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</si>
  <si>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</si>
  <si>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</si>
  <si>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</si>
  <si>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</si>
  <si>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</si>
  <si>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</si>
  <si>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</si>
  <si>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</si>
  <si>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</si>
  <si>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</si>
  <si>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</si>
  <si>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</si>
  <si>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</si>
  <si>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</si>
  <si>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</si>
  <si>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</si>
  <si>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</si>
  <si>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</si>
  <si>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</si>
  <si>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</si>
  <si>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</si>
  <si>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</si>
  <si>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</si>
  <si>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</si>
  <si>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</si>
  <si>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</si>
  <si>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</si>
  <si>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</si>
  <si>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</si>
  <si>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</si>
  <si>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</si>
  <si>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</si>
  <si>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</si>
  <si>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</si>
  <si>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</si>
  <si>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</si>
  <si>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</si>
  <si>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</si>
  <si>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</si>
  <si>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</si>
  <si>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</si>
  <si>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</si>
  <si>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</si>
  <si>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</si>
  <si>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</si>
  <si>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</si>
  <si>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</si>
  <si>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</si>
  <si>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</si>
  <si>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</si>
  <si>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</si>
  <si>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</si>
  <si>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</si>
  <si>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</si>
  <si>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</si>
  <si>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</si>
  <si>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</si>
  <si>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</si>
  <si>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</si>
  <si>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</si>
  <si>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</si>
  <si>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</si>
  <si>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</si>
  <si>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</si>
  <si>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</si>
  <si>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</si>
  <si>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</si>
  <si>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</si>
  <si>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</si>
  <si>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</si>
  <si>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</si>
  <si>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</si>
  <si>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</si>
  <si>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</si>
  <si>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</si>
  <si>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</si>
  <si>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</si>
  <si>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</si>
  <si>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</si>
  <si>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</si>
  <si>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</si>
  <si>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</si>
  <si>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</si>
  <si>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</si>
  <si>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</si>
  <si>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</si>
  <si>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</si>
  <si>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</si>
  <si>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</si>
  <si>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</si>
  <si>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</si>
  <si>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</si>
  <si>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</si>
  <si>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</si>
  <si>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</si>
  <si>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</si>
  <si>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</si>
  <si>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</si>
  <si>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</si>
  <si>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</si>
  <si>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</si>
  <si>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</si>
  <si>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</si>
  <si>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</si>
  <si>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</si>
  <si>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</si>
  <si>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</si>
  <si>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</si>
  <si>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</si>
  <si>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</si>
  <si>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</si>
  <si>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</si>
  <si>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</si>
  <si>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</si>
  <si>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</si>
  <si>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</si>
  <si>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</si>
  <si>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</si>
  <si>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</si>
  <si>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</si>
  <si>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</si>
  <si>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</si>
  <si>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</si>
  <si>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</si>
  <si>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</si>
  <si>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</si>
  <si>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</si>
  <si>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</si>
  <si>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</si>
  <si>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</si>
  <si>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</si>
  <si>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</si>
  <si>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</si>
  <si>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</si>
  <si>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</si>
  <si>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</si>
  <si>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</si>
  <si>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</si>
  <si>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</si>
  <si>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</si>
  <si>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</si>
  <si>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</si>
  <si>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</si>
  <si>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</si>
  <si>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</si>
  <si>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</si>
  <si>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</si>
  <si>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</si>
  <si>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</si>
  <si>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</si>
  <si>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</si>
  <si>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</si>
  <si>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</si>
  <si>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</si>
  <si>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</si>
  <si>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</si>
  <si>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</si>
  <si>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</si>
  <si>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</si>
  <si>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</si>
  <si>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</si>
  <si>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</si>
  <si>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</si>
  <si>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</si>
  <si>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</si>
  <si>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</si>
  <si>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</si>
  <si>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</si>
  <si>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</si>
  <si>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</si>
  <si>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</si>
  <si>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</si>
  <si>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</si>
  <si>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</si>
  <si>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</si>
  <si>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</si>
  <si>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</si>
  <si>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</si>
  <si>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</si>
  <si>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</si>
  <si>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</si>
  <si>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</si>
  <si>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</si>
  <si>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</si>
  <si>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</si>
  <si>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</si>
  <si>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</si>
  <si>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</si>
  <si>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</si>
  <si>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</si>
  <si>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</si>
  <si>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</si>
  <si>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</si>
  <si>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</si>
  <si>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</si>
  <si>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</si>
  <si>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</si>
  <si>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</si>
  <si>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</si>
  <si>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</si>
  <si>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</si>
  <si>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</si>
  <si>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</si>
  <si>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</si>
  <si>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</si>
  <si>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</si>
  <si>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</si>
  <si>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</si>
  <si>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</si>
  <si>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</si>
  <si>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</si>
  <si>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</si>
  <si>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</si>
  <si>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</si>
  <si>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</si>
  <si>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</si>
  <si>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</si>
  <si>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</si>
  <si>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</si>
  <si>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</si>
  <si>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</si>
  <si>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</si>
  <si>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</si>
  <si>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</si>
  <si>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</si>
  <si>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</si>
  <si>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</si>
  <si>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</si>
  <si>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</si>
  <si>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</si>
  <si>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</si>
  <si>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</si>
  <si>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</si>
  <si>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</si>
  <si>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</si>
  <si>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</si>
  <si>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</si>
  <si>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</si>
  <si>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</si>
  <si>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</si>
  <si>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</si>
  <si>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</si>
  <si>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</si>
  <si>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</si>
  <si>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</si>
  <si>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</si>
  <si>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</si>
  <si>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</si>
  <si>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</si>
  <si>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</si>
  <si>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</si>
  <si>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</si>
  <si>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</si>
  <si>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</si>
  <si>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</si>
  <si>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</si>
  <si>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</si>
  <si>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</si>
  <si>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</si>
  <si>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</si>
  <si>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</si>
  <si>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</si>
  <si>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</si>
  <si>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</si>
  <si>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</si>
  <si>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</si>
  <si>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</si>
  <si>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</si>
  <si>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</si>
  <si>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</si>
  <si>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</si>
  <si>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</si>
  <si>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</si>
  <si>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</si>
  <si>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</si>
  <si>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</si>
  <si>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</si>
  <si>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</si>
  <si>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</si>
  <si>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</si>
  <si>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</si>
  <si>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</si>
  <si>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</si>
  <si>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</si>
  <si>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</si>
  <si>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</si>
  <si>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</si>
  <si>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</si>
  <si>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</si>
  <si>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</si>
  <si>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</si>
  <si>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</si>
  <si>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</si>
  <si>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</si>
  <si>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</si>
  <si>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</si>
  <si>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</si>
  <si>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</si>
  <si>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</si>
  <si>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</si>
  <si>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</si>
  <si>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</si>
  <si>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Private Purpose Trusts (Scholarships)</t>
  </si>
  <si>
    <t>Permanent Funds</t>
  </si>
  <si>
    <t>07/05</t>
  </si>
  <si>
    <t>08/15</t>
  </si>
  <si>
    <t>07/06</t>
  </si>
  <si>
    <t>08/21</t>
  </si>
  <si>
    <t>Jaffrey-Rindge Cooperative School District (SAU47)</t>
  </si>
  <si>
    <t>Refund of PY Expenditure = (Employer portion only recorded as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</si>
</sst>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2" fillId="0" borderId="0" xfId="0" quotePrefix="1" applyNumberFormat="1" applyFont="1" applyAlignment="1" applyProtection="1">
      <alignment horizontal="center"/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917</v>
      </c>
      <c r="B2" s="21">
        <v>274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1393887.42+4000</f>
        <v>1397887.42</v>
      </c>
      <c r="G9" s="18">
        <v>647.65</v>
      </c>
      <c r="H9" s="18">
        <v>2465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2539023.9400000004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217597.24</v>
      </c>
      <c r="G12" s="18">
        <v>33452.300000000003</v>
      </c>
      <c r="H12" s="18">
        <v>2665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5109.66+75000</f>
        <v>80109.66</v>
      </c>
      <c r="G13" s="18">
        <v>18922.04</v>
      </c>
      <c r="H13" s="18">
        <v>253969.55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447.44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21861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9573+3000</f>
        <v>12573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1708614.7599999998</v>
      </c>
      <c r="G19" s="41">
        <f>SUM(G9:G18)</f>
        <v>74882.990000000005</v>
      </c>
      <c r="H19" s="41">
        <f>SUM(H9:H18)</f>
        <v>259099.55</v>
      </c>
      <c r="I19" s="41">
        <f>SUM(I9:I18)</f>
        <v>0</v>
      </c>
      <c r="J19" s="41">
        <f>SUM(J9:J18)</f>
        <v>2539023.9400000004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253714.54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75000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121483.12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36893.5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34038.25</v>
      </c>
      <c r="G28" s="18">
        <v>15</v>
      </c>
      <c r="H28" s="18">
        <v>218.49</v>
      </c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2603.9+3187.92+30916.71</f>
        <v>36708.53</v>
      </c>
      <c r="G29" s="18">
        <v>1.1499999999999999</v>
      </c>
      <c r="H29" s="18">
        <f>16.71+19.81</f>
        <v>36.519999999999996</v>
      </c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15769.81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192229.9</v>
      </c>
      <c r="G32" s="41">
        <f>SUM(G22:G31)</f>
        <v>52679.46</v>
      </c>
      <c r="H32" s="41">
        <f>SUM(H22:H31)</f>
        <v>253969.55</v>
      </c>
      <c r="I32" s="41">
        <f>SUM(I22:I31)</f>
        <v>0</v>
      </c>
      <c r="J32" s="41">
        <f>SUM(J22:J31)</f>
        <v>75000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21861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12573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342.53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5130</v>
      </c>
      <c r="I43" s="18"/>
      <c r="J43" s="13">
        <f>SUM(I456)</f>
        <v>2464023.9400000004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150000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225332.66</v>
      </c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7899.23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720579.97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1516384.8599999999</v>
      </c>
      <c r="G51" s="41">
        <f>SUM(G35:G50)</f>
        <v>22203.53</v>
      </c>
      <c r="H51" s="41">
        <f>SUM(H35:H50)</f>
        <v>5130</v>
      </c>
      <c r="I51" s="41">
        <f>SUM(I35:I50)</f>
        <v>0</v>
      </c>
      <c r="J51" s="41">
        <f>SUM(J35:J50)</f>
        <v>2464023.9400000004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1708614.7599999998</v>
      </c>
      <c r="G52" s="41">
        <f>G51+G32</f>
        <v>74882.989999999991</v>
      </c>
      <c r="H52" s="41">
        <f>H51+H32</f>
        <v>259099.55</v>
      </c>
      <c r="I52" s="41">
        <f>I51+I32</f>
        <v>0</v>
      </c>
      <c r="J52" s="41">
        <f>J51+J32</f>
        <v>2539023.9400000004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15143120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15143120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22040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8479.77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30519.77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f>49403.3+154142.81</f>
        <v>203546.11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260113.2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2165</v>
      </c>
      <c r="G98" s="24" t="s">
        <v>289</v>
      </c>
      <c r="H98" s="18">
        <v>2465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19526.580000000002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431361.65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47400.38</v>
      </c>
      <c r="G110" s="18"/>
      <c r="H110" s="18">
        <v>1000</v>
      </c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480927.03</v>
      </c>
      <c r="G111" s="41">
        <f>SUM(G96:G110)</f>
        <v>260113.2</v>
      </c>
      <c r="H111" s="41">
        <f>SUM(H96:H110)</f>
        <v>3465</v>
      </c>
      <c r="I111" s="41">
        <f>SUM(I96:I110)</f>
        <v>0</v>
      </c>
      <c r="J111" s="41">
        <f>SUM(J96:J110)</f>
        <v>223072.69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15654566.799999999</v>
      </c>
      <c r="G112" s="41">
        <f>G60+G111</f>
        <v>260113.2</v>
      </c>
      <c r="H112" s="41">
        <f>H60+H79+H94+H111</f>
        <v>3465</v>
      </c>
      <c r="I112" s="41">
        <f>I60+I111</f>
        <v>0</v>
      </c>
      <c r="J112" s="41">
        <f>J60+J111</f>
        <v>223072.69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5191284.0999999996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2212048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7403332.0999999996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325898.36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292111.75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3444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7241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7965.91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621454.11</v>
      </c>
      <c r="G136" s="41">
        <f>SUM(G123:G135)</f>
        <v>7965.91</v>
      </c>
      <c r="H136" s="41">
        <f>SUM(H123:H135)</f>
        <v>7241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8024786.21</v>
      </c>
      <c r="G140" s="41">
        <f>G121+SUM(G136:G137)</f>
        <v>7965.91</v>
      </c>
      <c r="H140" s="41">
        <f>H121+SUM(H136:H139)</f>
        <v>7241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329070.57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304816.92</f>
        <v>304816.92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295878.82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337530.91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185522.78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185522.78</v>
      </c>
      <c r="G162" s="41">
        <f>SUM(G150:G161)</f>
        <v>295878.82</v>
      </c>
      <c r="H162" s="41">
        <f>SUM(H150:H161)</f>
        <v>971418.39999999991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185522.78</v>
      </c>
      <c r="G169" s="41">
        <f>G147+G162+SUM(G163:G168)</f>
        <v>295878.82</v>
      </c>
      <c r="H169" s="41">
        <f>H147+H162+SUM(H163:H168)</f>
        <v>971418.39999999991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21500</v>
      </c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31911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31911</v>
      </c>
      <c r="G183" s="41">
        <f>SUM(G179:G182)</f>
        <v>21500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31911</v>
      </c>
      <c r="G192" s="41">
        <f>G183+SUM(G188:G191)</f>
        <v>21500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23896786.789999999</v>
      </c>
      <c r="G193" s="47">
        <f>G112+G140+G169+G192</f>
        <v>585457.92999999993</v>
      </c>
      <c r="H193" s="47">
        <f>H112+H140+H169+H192</f>
        <v>982124.39999999991</v>
      </c>
      <c r="I193" s="47">
        <f>I112+I140+I169+I192</f>
        <v>0</v>
      </c>
      <c r="J193" s="47">
        <f>J112+J140+J192</f>
        <v>423072.69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2476686.61</v>
      </c>
      <c r="G197" s="18">
        <f>1114529.43+35285.88</f>
        <v>1149815.3099999998</v>
      </c>
      <c r="H197" s="18">
        <f>16582.17+6279.35</f>
        <v>22861.519999999997</v>
      </c>
      <c r="I197" s="18">
        <v>144132.48000000001</v>
      </c>
      <c r="J197" s="18">
        <v>7573.03</v>
      </c>
      <c r="K197" s="18">
        <v>100</v>
      </c>
      <c r="L197" s="19">
        <f>SUM(F197:K197)</f>
        <v>3801168.9499999997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952534.31+185396.16</f>
        <v>1137930.47</v>
      </c>
      <c r="G198" s="18">
        <f>472207.2+77946.52</f>
        <v>550153.72</v>
      </c>
      <c r="H198" s="18">
        <f>615222.41+10722.08</f>
        <v>625944.49</v>
      </c>
      <c r="I198" s="18">
        <f>7507.55+2263.88</f>
        <v>9771.43</v>
      </c>
      <c r="J198" s="18">
        <f>3670.94+254.2</f>
        <v>3925.14</v>
      </c>
      <c r="K198" s="18">
        <v>12821.85</v>
      </c>
      <c r="L198" s="19">
        <f>SUM(F198:K198)</f>
        <v>2340547.1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57578.64</v>
      </c>
      <c r="G200" s="18">
        <v>11681.96</v>
      </c>
      <c r="H200" s="18">
        <v>0</v>
      </c>
      <c r="I200" s="18">
        <v>1234.0999999999999</v>
      </c>
      <c r="J200" s="18">
        <v>0</v>
      </c>
      <c r="K200" s="18">
        <v>810</v>
      </c>
      <c r="L200" s="19">
        <f>SUM(F200:K200)</f>
        <v>71304.700000000012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348131.27+15844.76</f>
        <v>363976.03</v>
      </c>
      <c r="G202" s="18">
        <f>174347.24+1214.66</f>
        <v>175561.9</v>
      </c>
      <c r="H202" s="18">
        <v>54806.99</v>
      </c>
      <c r="I202" s="18">
        <f>6193.48+47.52</f>
        <v>6241</v>
      </c>
      <c r="J202" s="18">
        <v>869.36</v>
      </c>
      <c r="K202" s="18">
        <v>0</v>
      </c>
      <c r="L202" s="19">
        <f t="shared" ref="L202:L208" si="0">SUM(F202:K202)</f>
        <v>601455.28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118829.65+61566.06</f>
        <v>180395.71</v>
      </c>
      <c r="G203" s="18">
        <f>59573.6+20582.35</f>
        <v>80155.95</v>
      </c>
      <c r="H203" s="18">
        <v>36022.93</v>
      </c>
      <c r="I203" s="18">
        <f>16184.37+1965.7</f>
        <v>18150.07</v>
      </c>
      <c r="J203" s="18">
        <v>8093.88</v>
      </c>
      <c r="K203" s="18">
        <f>2969.4</f>
        <v>2969.4</v>
      </c>
      <c r="L203" s="19">
        <f t="shared" si="0"/>
        <v>325787.94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121380.47</v>
      </c>
      <c r="G204" s="18">
        <f>30860.77</f>
        <v>30860.77</v>
      </c>
      <c r="H204" s="18">
        <f>46961.21</f>
        <v>46961.21</v>
      </c>
      <c r="I204" s="18">
        <f>2111.57</f>
        <v>2111.5700000000002</v>
      </c>
      <c r="J204" s="18">
        <v>0</v>
      </c>
      <c r="K204" s="18">
        <f>5005.08</f>
        <v>5005.08</v>
      </c>
      <c r="L204" s="19">
        <f t="shared" si="0"/>
        <v>206319.09999999998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319096.25</v>
      </c>
      <c r="G205" s="18">
        <v>148731.76</v>
      </c>
      <c r="H205" s="18">
        <f>1551.69+5787.56</f>
        <v>7339.25</v>
      </c>
      <c r="I205" s="18">
        <v>2878.74</v>
      </c>
      <c r="J205" s="18">
        <v>1268.43</v>
      </c>
      <c r="K205" s="18">
        <v>3301.25</v>
      </c>
      <c r="L205" s="19">
        <f t="shared" si="0"/>
        <v>482615.68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111465.87</v>
      </c>
      <c r="G206" s="18">
        <f>60626.31</f>
        <v>60626.31</v>
      </c>
      <c r="H206" s="18">
        <f>44903.86</f>
        <v>44903.86</v>
      </c>
      <c r="I206" s="18">
        <f>8077.57</f>
        <v>8077.57</v>
      </c>
      <c r="J206" s="18">
        <f>2961.17</f>
        <v>2961.17</v>
      </c>
      <c r="K206" s="18">
        <f>5171.11</f>
        <v>5171.1099999999997</v>
      </c>
      <c r="L206" s="19">
        <f t="shared" si="0"/>
        <v>233205.88999999998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208027.8+121234.05</f>
        <v>329261.84999999998</v>
      </c>
      <c r="G207" s="18">
        <f>119890.51+61921.05</f>
        <v>181811.56</v>
      </c>
      <c r="H207" s="18">
        <f>190957.82+39711.95</f>
        <v>230669.77000000002</v>
      </c>
      <c r="I207" s="18">
        <f>234100+1443.31</f>
        <v>235543.31</v>
      </c>
      <c r="J207" s="18">
        <f>387.1</f>
        <v>387.1</v>
      </c>
      <c r="K207" s="18">
        <f>183.75</f>
        <v>183.75</v>
      </c>
      <c r="L207" s="19">
        <f t="shared" si="0"/>
        <v>977857.34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238196+302820.64</f>
        <v>541016.64</v>
      </c>
      <c r="I208" s="18">
        <f>57760.06</f>
        <v>57760.06</v>
      </c>
      <c r="J208" s="18">
        <v>0</v>
      </c>
      <c r="K208" s="18">
        <v>0</v>
      </c>
      <c r="L208" s="19">
        <f t="shared" si="0"/>
        <v>598776.69999999995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76454.05</f>
        <v>76454.05</v>
      </c>
      <c r="G209" s="18">
        <f>34386.7</f>
        <v>34386.699999999997</v>
      </c>
      <c r="H209" s="18">
        <f>129420.49</f>
        <v>129420.49</v>
      </c>
      <c r="I209" s="18">
        <f>7811.58+48561.02</f>
        <v>56372.6</v>
      </c>
      <c r="J209" s="18">
        <f>6254+83497.99</f>
        <v>89751.99</v>
      </c>
      <c r="K209" s="18"/>
      <c r="L209" s="19">
        <f>SUM(F209:K209)</f>
        <v>386385.82999999996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5174225.9499999993</v>
      </c>
      <c r="G211" s="41">
        <f t="shared" si="1"/>
        <v>2423785.94</v>
      </c>
      <c r="H211" s="41">
        <f t="shared" si="1"/>
        <v>1739947.1500000001</v>
      </c>
      <c r="I211" s="41">
        <f t="shared" si="1"/>
        <v>542272.93000000005</v>
      </c>
      <c r="J211" s="41">
        <f t="shared" si="1"/>
        <v>114830.1</v>
      </c>
      <c r="K211" s="41">
        <f t="shared" si="1"/>
        <v>30362.440000000002</v>
      </c>
      <c r="L211" s="41">
        <f t="shared" si="1"/>
        <v>10025424.51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1086221.06</f>
        <v>1086221.06</v>
      </c>
      <c r="G215" s="18">
        <f>517127.74+15122.52</f>
        <v>532250.26</v>
      </c>
      <c r="H215" s="18">
        <f>4814.86+2691.15</f>
        <v>7506.01</v>
      </c>
      <c r="I215" s="18">
        <f>30647.38</f>
        <v>30647.38</v>
      </c>
      <c r="J215" s="18">
        <f>4099.94</f>
        <v>4099.9399999999996</v>
      </c>
      <c r="K215" s="18">
        <v>0</v>
      </c>
      <c r="L215" s="19">
        <f>SUM(F215:K215)</f>
        <v>1660724.65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508453.23+79455.5</f>
        <v>587908.73</v>
      </c>
      <c r="G216" s="18">
        <f>319087.26+33405.65</f>
        <v>352492.91000000003</v>
      </c>
      <c r="H216" s="18">
        <f>258431.24+4595.18</f>
        <v>263026.42</v>
      </c>
      <c r="I216" s="18">
        <f>5181.24+970.23</f>
        <v>6151.4699999999993</v>
      </c>
      <c r="J216" s="18">
        <f>108.94</f>
        <v>108.94</v>
      </c>
      <c r="K216" s="18">
        <f>5495.08</f>
        <v>5495.08</v>
      </c>
      <c r="L216" s="19">
        <f>SUM(F216:K216)</f>
        <v>1215183.55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123131.74</v>
      </c>
      <c r="G217" s="18">
        <v>62623.24</v>
      </c>
      <c r="H217" s="18">
        <v>579.1</v>
      </c>
      <c r="I217" s="18">
        <v>6937.8</v>
      </c>
      <c r="J217" s="18">
        <v>0</v>
      </c>
      <c r="K217" s="18">
        <v>0</v>
      </c>
      <c r="L217" s="19">
        <f>SUM(F217:K217)</f>
        <v>193271.88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55969.55</v>
      </c>
      <c r="G218" s="18">
        <v>10060.83</v>
      </c>
      <c r="H218" s="18">
        <v>2713</v>
      </c>
      <c r="I218" s="18">
        <v>796.55</v>
      </c>
      <c r="J218" s="18">
        <v>0</v>
      </c>
      <c r="K218" s="18">
        <v>897.5</v>
      </c>
      <c r="L218" s="19">
        <f>SUM(F218:K218)</f>
        <v>70437.430000000008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252437.7+6790.61</f>
        <v>259228.31</v>
      </c>
      <c r="G220" s="18">
        <f>110212.92+520.57</f>
        <v>110733.49</v>
      </c>
      <c r="H220" s="18">
        <v>4574.18</v>
      </c>
      <c r="I220" s="18">
        <f>3682.27+20.36</f>
        <v>3702.63</v>
      </c>
      <c r="J220" s="18">
        <v>1206</v>
      </c>
      <c r="K220" s="18">
        <v>80</v>
      </c>
      <c r="L220" s="19">
        <f t="shared" ref="L220:L226" si="2">SUM(F220:K220)</f>
        <v>379524.61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63683.94+26385.45</f>
        <v>90069.39</v>
      </c>
      <c r="G221" s="18">
        <f>28530.26+8821.01</f>
        <v>37351.269999999997</v>
      </c>
      <c r="H221" s="18">
        <f>15438.4</f>
        <v>15438.4</v>
      </c>
      <c r="I221" s="18">
        <f>9401.41+842.44</f>
        <v>10243.85</v>
      </c>
      <c r="J221" s="18">
        <v>0</v>
      </c>
      <c r="K221" s="18">
        <f>1272.6</f>
        <v>1272.5999999999999</v>
      </c>
      <c r="L221" s="19">
        <f t="shared" si="2"/>
        <v>154375.51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52020.2</f>
        <v>52020.2</v>
      </c>
      <c r="G222" s="18">
        <f>13226.04</f>
        <v>13226.04</v>
      </c>
      <c r="H222" s="18">
        <f>20126.23</f>
        <v>20126.23</v>
      </c>
      <c r="I222" s="18">
        <f>904.96</f>
        <v>904.96</v>
      </c>
      <c r="J222" s="18">
        <v>0</v>
      </c>
      <c r="K222" s="18">
        <f>2145.03</f>
        <v>2145.0300000000002</v>
      </c>
      <c r="L222" s="19">
        <f t="shared" si="2"/>
        <v>88422.46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238338.94</v>
      </c>
      <c r="G223" s="18">
        <v>116073.52</v>
      </c>
      <c r="H223" s="18">
        <f>4377.46+2480.38</f>
        <v>6857.84</v>
      </c>
      <c r="I223" s="18">
        <v>887</v>
      </c>
      <c r="J223" s="18">
        <v>1239.9000000000001</v>
      </c>
      <c r="K223" s="18">
        <v>1654</v>
      </c>
      <c r="L223" s="19">
        <f t="shared" si="2"/>
        <v>365051.20000000007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47771.09</f>
        <v>47771.09</v>
      </c>
      <c r="G224" s="18">
        <f>25982.7</f>
        <v>25982.7</v>
      </c>
      <c r="H224" s="18">
        <f>19244.51</f>
        <v>19244.509999999998</v>
      </c>
      <c r="I224" s="18">
        <v>3461.82</v>
      </c>
      <c r="J224" s="18">
        <f>1269.07</f>
        <v>1269.07</v>
      </c>
      <c r="K224" s="18">
        <f>2216.19</f>
        <v>2216.19</v>
      </c>
      <c r="L224" s="19">
        <f t="shared" si="2"/>
        <v>99945.38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103141.77+51957.45</f>
        <v>155099.22</v>
      </c>
      <c r="G225" s="18">
        <f>51568.5+26537.59</f>
        <v>78106.09</v>
      </c>
      <c r="H225" s="18">
        <f>110786.6+17019.41</f>
        <v>127806.01000000001</v>
      </c>
      <c r="I225" s="18">
        <f>618.56+147530.95</f>
        <v>148149.51</v>
      </c>
      <c r="J225" s="18">
        <f>165.9</f>
        <v>165.9</v>
      </c>
      <c r="K225" s="18">
        <f>78.75</f>
        <v>78.75</v>
      </c>
      <c r="L225" s="19">
        <f t="shared" si="2"/>
        <v>509405.48000000004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f>161026.53+129780.27</f>
        <v>290806.8</v>
      </c>
      <c r="I226" s="18">
        <f>24754.31</f>
        <v>24754.31</v>
      </c>
      <c r="J226" s="18">
        <v>0</v>
      </c>
      <c r="K226" s="18">
        <v>0</v>
      </c>
      <c r="L226" s="19">
        <f t="shared" si="2"/>
        <v>315561.11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32766.02</f>
        <v>32766.02</v>
      </c>
      <c r="G227" s="18">
        <f>14737.16</f>
        <v>14737.16</v>
      </c>
      <c r="H227" s="18">
        <f>55465.92</f>
        <v>55465.919999999998</v>
      </c>
      <c r="I227" s="18">
        <f>8881.42+20811.87</f>
        <v>29693.29</v>
      </c>
      <c r="J227" s="18">
        <f>5862+35784.85</f>
        <v>41646.85</v>
      </c>
      <c r="K227" s="18">
        <v>0</v>
      </c>
      <c r="L227" s="19">
        <f>SUM(F227:K227)</f>
        <v>174309.24000000002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2728524.2500000005</v>
      </c>
      <c r="G229" s="41">
        <f>SUM(G215:G228)</f>
        <v>1353637.51</v>
      </c>
      <c r="H229" s="41">
        <f>SUM(H215:H228)</f>
        <v>814144.42</v>
      </c>
      <c r="I229" s="41">
        <f>SUM(I215:I228)</f>
        <v>266330.57</v>
      </c>
      <c r="J229" s="41">
        <f>SUM(J215:J228)</f>
        <v>49736.6</v>
      </c>
      <c r="K229" s="41">
        <f t="shared" si="3"/>
        <v>13839.150000000001</v>
      </c>
      <c r="L229" s="41">
        <f t="shared" si="3"/>
        <v>5226212.5000000009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1350391.75</v>
      </c>
      <c r="G233" s="18">
        <f>666674.34+21603.6</f>
        <v>688277.94</v>
      </c>
      <c r="H233" s="18">
        <f>23269.11+3844.5</f>
        <v>27113.61</v>
      </c>
      <c r="I233" s="18">
        <v>60250.42</v>
      </c>
      <c r="J233" s="18">
        <v>12839.93</v>
      </c>
      <c r="K233" s="18">
        <v>3465</v>
      </c>
      <c r="L233" s="19">
        <f>SUM(F233:K233)</f>
        <v>2142338.6500000004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710746.74+113507.85</f>
        <v>824254.59</v>
      </c>
      <c r="G234" s="18">
        <f>378049.11+47722.36</f>
        <v>425771.47</v>
      </c>
      <c r="H234" s="18">
        <f>455275.54+6564.54</f>
        <v>461840.07999999996</v>
      </c>
      <c r="I234" s="18">
        <f>6017.37+1386.05</f>
        <v>7403.42</v>
      </c>
      <c r="J234" s="18">
        <f>327.39+155.63</f>
        <v>483.02</v>
      </c>
      <c r="K234" s="18">
        <f>7850.11</f>
        <v>7850.11</v>
      </c>
      <c r="L234" s="19">
        <f>SUM(F234:K234)</f>
        <v>1727602.6900000002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127003.15</v>
      </c>
      <c r="G235" s="18">
        <v>53787.44</v>
      </c>
      <c r="H235" s="18">
        <v>19848.23</v>
      </c>
      <c r="I235" s="18">
        <v>17566.47</v>
      </c>
      <c r="J235" s="18">
        <v>3258.96</v>
      </c>
      <c r="K235" s="18">
        <v>0</v>
      </c>
      <c r="L235" s="19">
        <f>SUM(F235:K235)</f>
        <v>221464.25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99696.82</v>
      </c>
      <c r="G236" s="18">
        <v>15913.86</v>
      </c>
      <c r="H236" s="18">
        <v>27567.65</v>
      </c>
      <c r="I236" s="18">
        <v>6591.71</v>
      </c>
      <c r="J236" s="18">
        <v>4117.21</v>
      </c>
      <c r="K236" s="18">
        <v>6005.82</v>
      </c>
      <c r="L236" s="19">
        <f>SUM(F236:K236)</f>
        <v>159893.07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316601.73+9700.88</f>
        <v>326302.61</v>
      </c>
      <c r="G238" s="18">
        <f>155526.46+743.67</f>
        <v>156270.13</v>
      </c>
      <c r="H238" s="18">
        <v>6423.71</v>
      </c>
      <c r="I238" s="18">
        <f>9777.59+29.09</f>
        <v>9806.68</v>
      </c>
      <c r="J238" s="18">
        <v>1206</v>
      </c>
      <c r="K238" s="18">
        <v>40</v>
      </c>
      <c r="L238" s="19">
        <f t="shared" ref="L238:L244" si="4">SUM(F238:K238)</f>
        <v>500049.13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73734.81+37693.51</f>
        <v>111428.32</v>
      </c>
      <c r="G239" s="18">
        <f>30579.48+12601.44</f>
        <v>43180.92</v>
      </c>
      <c r="H239" s="18">
        <f>51.24+22054.85</f>
        <v>22106.09</v>
      </c>
      <c r="I239" s="18">
        <f>14797.41+1203.49</f>
        <v>16000.9</v>
      </c>
      <c r="J239" s="18">
        <v>19389.47</v>
      </c>
      <c r="K239" s="18">
        <v>1818</v>
      </c>
      <c r="L239" s="19">
        <f t="shared" si="4"/>
        <v>213923.69999999998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74314.58</f>
        <v>74314.58</v>
      </c>
      <c r="G240" s="18">
        <f>18894.35</f>
        <v>18894.349999999999</v>
      </c>
      <c r="H240" s="18">
        <f>28751.76</f>
        <v>28751.759999999998</v>
      </c>
      <c r="I240" s="18">
        <f>1292.8</f>
        <v>1292.8</v>
      </c>
      <c r="J240" s="18">
        <v>0</v>
      </c>
      <c r="K240" s="18">
        <f>3064.34</f>
        <v>3064.34</v>
      </c>
      <c r="L240" s="19">
        <f t="shared" si="4"/>
        <v>126317.82999999999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238176.07</v>
      </c>
      <c r="G241" s="18">
        <v>97393.45</v>
      </c>
      <c r="H241" s="18">
        <f>5688.59+3543.41</f>
        <v>9232</v>
      </c>
      <c r="I241" s="18">
        <v>1957.84</v>
      </c>
      <c r="J241" s="18">
        <v>0</v>
      </c>
      <c r="K241" s="18">
        <v>1770.5</v>
      </c>
      <c r="L241" s="19">
        <f t="shared" si="4"/>
        <v>348529.86000000004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68244.41</f>
        <v>68244.41</v>
      </c>
      <c r="G242" s="18">
        <f>37118.15</f>
        <v>37118.15</v>
      </c>
      <c r="H242" s="18">
        <f>27492.16</f>
        <v>27492.16</v>
      </c>
      <c r="I242" s="18">
        <f>4945.45</f>
        <v>4945.45</v>
      </c>
      <c r="J242" s="18">
        <f>1812.96</f>
        <v>1812.96</v>
      </c>
      <c r="K242" s="18">
        <f>3165.99</f>
        <v>3165.99</v>
      </c>
      <c r="L242" s="19">
        <f t="shared" si="4"/>
        <v>142779.12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102639.69+74224.93</f>
        <v>176864.62</v>
      </c>
      <c r="G243" s="18">
        <f>51375.47+37910.84</f>
        <v>89286.31</v>
      </c>
      <c r="H243" s="18">
        <f>136573.9+24313.44</f>
        <v>160887.34</v>
      </c>
      <c r="I243" s="18">
        <f>157814.19+883.66</f>
        <v>158697.85</v>
      </c>
      <c r="J243" s="18">
        <f>237</f>
        <v>237</v>
      </c>
      <c r="K243" s="18">
        <f>112.5</f>
        <v>112.5</v>
      </c>
      <c r="L243" s="19">
        <f t="shared" si="4"/>
        <v>586085.62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f>161095.6+185400.39+114696</f>
        <v>461191.99</v>
      </c>
      <c r="I244" s="18">
        <f>35363.3</f>
        <v>35363.300000000003</v>
      </c>
      <c r="J244" s="18">
        <v>0</v>
      </c>
      <c r="K244" s="18">
        <v>0</v>
      </c>
      <c r="L244" s="19">
        <f t="shared" si="4"/>
        <v>496555.29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46808.6</f>
        <v>46808.6</v>
      </c>
      <c r="G245" s="18">
        <f>21053.08</f>
        <v>21053.08</v>
      </c>
      <c r="H245" s="18">
        <f>79237.04</f>
        <v>79237.039999999994</v>
      </c>
      <c r="I245" s="18">
        <f>13026.31+29731.24</f>
        <v>42757.55</v>
      </c>
      <c r="J245" s="18">
        <f>7882.99+51121.22</f>
        <v>59004.21</v>
      </c>
      <c r="K245" s="18">
        <v>0</v>
      </c>
      <c r="L245" s="19">
        <f>SUM(F245:K245)</f>
        <v>248860.47999999995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3443485.5199999996</v>
      </c>
      <c r="G247" s="41">
        <f t="shared" si="5"/>
        <v>1646947.0999999999</v>
      </c>
      <c r="H247" s="41">
        <f t="shared" si="5"/>
        <v>1331691.6599999999</v>
      </c>
      <c r="I247" s="41">
        <f t="shared" si="5"/>
        <v>362634.39</v>
      </c>
      <c r="J247" s="41">
        <f t="shared" si="5"/>
        <v>102348.76</v>
      </c>
      <c r="K247" s="41">
        <f t="shared" si="5"/>
        <v>27292.260000000002</v>
      </c>
      <c r="L247" s="41">
        <f t="shared" si="5"/>
        <v>6914399.6900000013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971</v>
      </c>
      <c r="G251" s="18">
        <v>165.1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1136.0999999999999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5150</v>
      </c>
      <c r="K255" s="18">
        <v>0</v>
      </c>
      <c r="L255" s="19">
        <f t="shared" si="6"/>
        <v>5150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971</v>
      </c>
      <c r="G256" s="41">
        <f t="shared" si="7"/>
        <v>165.1</v>
      </c>
      <c r="H256" s="41">
        <f t="shared" si="7"/>
        <v>0</v>
      </c>
      <c r="I256" s="41">
        <f t="shared" si="7"/>
        <v>0</v>
      </c>
      <c r="J256" s="41">
        <f t="shared" si="7"/>
        <v>5150</v>
      </c>
      <c r="K256" s="41">
        <f t="shared" si="7"/>
        <v>0</v>
      </c>
      <c r="L256" s="41">
        <f>SUM(F256:K256)</f>
        <v>6286.1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11347206.719999999</v>
      </c>
      <c r="G257" s="41">
        <f t="shared" si="8"/>
        <v>5424535.6499999994</v>
      </c>
      <c r="H257" s="41">
        <f t="shared" si="8"/>
        <v>3885783.2300000004</v>
      </c>
      <c r="I257" s="41">
        <f t="shared" si="8"/>
        <v>1171237.8900000001</v>
      </c>
      <c r="J257" s="41">
        <f t="shared" si="8"/>
        <v>272065.46000000002</v>
      </c>
      <c r="K257" s="41">
        <f t="shared" si="8"/>
        <v>71493.850000000006</v>
      </c>
      <c r="L257" s="41">
        <f t="shared" si="8"/>
        <v>22172322.800000004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675000</v>
      </c>
      <c r="L260" s="19">
        <f>SUM(F260:K260)</f>
        <v>675000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225900</v>
      </c>
      <c r="L261" s="19">
        <f>SUM(F261:K261)</f>
        <v>225900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21500</v>
      </c>
      <c r="L263" s="19">
        <f>SUM(F263:K263)</f>
        <v>21500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1122400</v>
      </c>
      <c r="L270" s="41">
        <f t="shared" si="9"/>
        <v>1122400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11347206.719999999</v>
      </c>
      <c r="G271" s="42">
        <f t="shared" si="11"/>
        <v>5424535.6499999994</v>
      </c>
      <c r="H271" s="42">
        <f t="shared" si="11"/>
        <v>3885783.2300000004</v>
      </c>
      <c r="I271" s="42">
        <f t="shared" si="11"/>
        <v>1171237.8900000001</v>
      </c>
      <c r="J271" s="42">
        <f t="shared" si="11"/>
        <v>272065.46000000002</v>
      </c>
      <c r="K271" s="42">
        <f t="shared" si="11"/>
        <v>1193893.8500000001</v>
      </c>
      <c r="L271" s="42">
        <f t="shared" si="11"/>
        <v>23294722.800000004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118058.07</v>
      </c>
      <c r="G276" s="18">
        <v>44168.97</v>
      </c>
      <c r="H276" s="18">
        <v>0</v>
      </c>
      <c r="I276" s="18">
        <v>2562.61</v>
      </c>
      <c r="J276" s="18">
        <v>0</v>
      </c>
      <c r="K276" s="18">
        <v>0</v>
      </c>
      <c r="L276" s="19">
        <f>SUM(F276:K276)</f>
        <v>164789.65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63273.31</v>
      </c>
      <c r="G277" s="18">
        <v>21154.15</v>
      </c>
      <c r="H277" s="18">
        <v>0</v>
      </c>
      <c r="I277" s="18">
        <v>1388.13</v>
      </c>
      <c r="J277" s="18">
        <v>0</v>
      </c>
      <c r="K277" s="18">
        <v>0</v>
      </c>
      <c r="L277" s="19">
        <f>SUM(F277:K277)</f>
        <v>85815.59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74656.98</v>
      </c>
      <c r="G279" s="18">
        <v>23137.79</v>
      </c>
      <c r="H279" s="18">
        <v>15861.89</v>
      </c>
      <c r="I279" s="18">
        <v>2957.51</v>
      </c>
      <c r="J279" s="18">
        <v>0</v>
      </c>
      <c r="K279" s="18">
        <v>0</v>
      </c>
      <c r="L279" s="19">
        <f>SUM(F279:K279)</f>
        <v>116614.16999999998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9325.84</v>
      </c>
      <c r="G281" s="18">
        <v>823.79</v>
      </c>
      <c r="H281" s="18">
        <v>32830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42979.630000000005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26827.5</v>
      </c>
      <c r="G282" s="18">
        <v>10228.33</v>
      </c>
      <c r="H282" s="18">
        <v>2237.75</v>
      </c>
      <c r="I282" s="18">
        <v>1496.91</v>
      </c>
      <c r="J282" s="18">
        <v>1797.32</v>
      </c>
      <c r="K282" s="18">
        <v>0</v>
      </c>
      <c r="L282" s="19">
        <f t="shared" si="12"/>
        <v>42587.810000000005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292141.7</v>
      </c>
      <c r="G290" s="42">
        <f t="shared" si="13"/>
        <v>99513.03</v>
      </c>
      <c r="H290" s="42">
        <f t="shared" si="13"/>
        <v>50929.64</v>
      </c>
      <c r="I290" s="42">
        <f t="shared" si="13"/>
        <v>8405.16</v>
      </c>
      <c r="J290" s="42">
        <f t="shared" si="13"/>
        <v>1797.32</v>
      </c>
      <c r="K290" s="42">
        <f t="shared" si="13"/>
        <v>0</v>
      </c>
      <c r="L290" s="41">
        <f t="shared" si="13"/>
        <v>452786.85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50596.32</v>
      </c>
      <c r="G295" s="18">
        <v>18929.560000000001</v>
      </c>
      <c r="H295" s="18">
        <v>0</v>
      </c>
      <c r="I295" s="18">
        <v>1098.26</v>
      </c>
      <c r="J295" s="18">
        <v>0</v>
      </c>
      <c r="K295" s="18">
        <v>0</v>
      </c>
      <c r="L295" s="19">
        <f>SUM(F295:K295)</f>
        <v>70624.14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27117.13</v>
      </c>
      <c r="G296" s="18">
        <v>9066.06</v>
      </c>
      <c r="H296" s="18">
        <v>0</v>
      </c>
      <c r="I296" s="18">
        <v>594.91</v>
      </c>
      <c r="J296" s="18">
        <v>0</v>
      </c>
      <c r="K296" s="18">
        <v>0</v>
      </c>
      <c r="L296" s="19">
        <f>SUM(F296:K296)</f>
        <v>36778.100000000006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31995.85</v>
      </c>
      <c r="G298" s="18">
        <v>9916.2000000000007</v>
      </c>
      <c r="H298" s="18">
        <v>6797.95</v>
      </c>
      <c r="I298" s="18">
        <v>1267.5</v>
      </c>
      <c r="J298" s="18">
        <v>0</v>
      </c>
      <c r="K298" s="18">
        <v>0</v>
      </c>
      <c r="L298" s="19">
        <f>SUM(F298:K298)</f>
        <v>49977.5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3996.79</v>
      </c>
      <c r="G300" s="18">
        <v>353.05</v>
      </c>
      <c r="H300" s="18">
        <v>14070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18419.84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11497.5</v>
      </c>
      <c r="G301" s="18">
        <v>4383.57</v>
      </c>
      <c r="H301" s="18">
        <v>959.04</v>
      </c>
      <c r="I301" s="18">
        <v>641.53</v>
      </c>
      <c r="J301" s="18">
        <v>770.28</v>
      </c>
      <c r="K301" s="18">
        <v>0</v>
      </c>
      <c r="L301" s="19">
        <f t="shared" si="14"/>
        <v>18251.919999999998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125203.58999999998</v>
      </c>
      <c r="G309" s="42">
        <f t="shared" si="15"/>
        <v>42648.44000000001</v>
      </c>
      <c r="H309" s="42">
        <f t="shared" si="15"/>
        <v>21826.99</v>
      </c>
      <c r="I309" s="42">
        <f t="shared" si="15"/>
        <v>3602.2</v>
      </c>
      <c r="J309" s="42">
        <f t="shared" si="15"/>
        <v>770.28</v>
      </c>
      <c r="K309" s="42">
        <f t="shared" si="15"/>
        <v>0</v>
      </c>
      <c r="L309" s="41">
        <f t="shared" si="15"/>
        <v>194051.5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72280.45</v>
      </c>
      <c r="G314" s="18">
        <v>27042.23</v>
      </c>
      <c r="H314" s="18">
        <v>0</v>
      </c>
      <c r="I314" s="18">
        <v>1568.95</v>
      </c>
      <c r="J314" s="18">
        <v>0</v>
      </c>
      <c r="K314" s="18">
        <v>0</v>
      </c>
      <c r="L314" s="19">
        <f>SUM(F314:K314)</f>
        <v>100891.62999999999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38738.76</v>
      </c>
      <c r="G315" s="18">
        <v>12951.52</v>
      </c>
      <c r="H315" s="18">
        <v>0</v>
      </c>
      <c r="I315" s="18">
        <v>849.87</v>
      </c>
      <c r="J315" s="18">
        <v>0</v>
      </c>
      <c r="K315" s="18">
        <v>0</v>
      </c>
      <c r="L315" s="19">
        <f>SUM(F315:K315)</f>
        <v>52540.15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45708.35</v>
      </c>
      <c r="G317" s="18">
        <v>14165.99</v>
      </c>
      <c r="H317" s="18">
        <v>9711.36</v>
      </c>
      <c r="I317" s="18">
        <v>1810.72</v>
      </c>
      <c r="J317" s="18">
        <v>0</v>
      </c>
      <c r="K317" s="18">
        <v>0</v>
      </c>
      <c r="L317" s="19">
        <f>SUM(F317:K317)</f>
        <v>71396.42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5709.7</v>
      </c>
      <c r="G319" s="18">
        <v>504.36</v>
      </c>
      <c r="H319" s="18">
        <v>20100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26314.059999999998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16425</v>
      </c>
      <c r="G320" s="18">
        <v>6262.25</v>
      </c>
      <c r="H320" s="18">
        <v>1370.05</v>
      </c>
      <c r="I320" s="18">
        <v>916.47</v>
      </c>
      <c r="J320" s="18">
        <v>1100.4000000000001</v>
      </c>
      <c r="K320" s="18">
        <v>0</v>
      </c>
      <c r="L320" s="19">
        <f t="shared" si="16"/>
        <v>26074.170000000002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178862.26</v>
      </c>
      <c r="G328" s="42">
        <f t="shared" si="17"/>
        <v>60926.35</v>
      </c>
      <c r="H328" s="42">
        <f t="shared" si="17"/>
        <v>31181.41</v>
      </c>
      <c r="I328" s="42">
        <f t="shared" si="17"/>
        <v>5146.01</v>
      </c>
      <c r="J328" s="42">
        <f t="shared" si="17"/>
        <v>1100.4000000000001</v>
      </c>
      <c r="K328" s="42">
        <f t="shared" si="17"/>
        <v>0</v>
      </c>
      <c r="L328" s="41">
        <f t="shared" si="17"/>
        <v>277216.43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14203.46</v>
      </c>
      <c r="G332" s="18">
        <v>1086.56</v>
      </c>
      <c r="H332" s="18">
        <v>0</v>
      </c>
      <c r="I332" s="18">
        <v>248.6</v>
      </c>
      <c r="J332" s="18">
        <v>0</v>
      </c>
      <c r="K332" s="18">
        <v>0</v>
      </c>
      <c r="L332" s="19">
        <f t="shared" ref="L332:L337" si="18">SUM(F332:K332)</f>
        <v>15538.619999999999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5873</v>
      </c>
      <c r="G333" s="18">
        <v>1282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7155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20076.46</v>
      </c>
      <c r="G337" s="41">
        <f t="shared" si="19"/>
        <v>2368.56</v>
      </c>
      <c r="H337" s="41">
        <f t="shared" si="19"/>
        <v>0</v>
      </c>
      <c r="I337" s="41">
        <f t="shared" si="19"/>
        <v>248.6</v>
      </c>
      <c r="J337" s="41">
        <f t="shared" si="19"/>
        <v>0</v>
      </c>
      <c r="K337" s="41">
        <f t="shared" si="19"/>
        <v>0</v>
      </c>
      <c r="L337" s="41">
        <f t="shared" si="18"/>
        <v>22693.62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616284.01</v>
      </c>
      <c r="G338" s="41">
        <f t="shared" si="20"/>
        <v>205456.38</v>
      </c>
      <c r="H338" s="41">
        <f t="shared" si="20"/>
        <v>103938.04000000001</v>
      </c>
      <c r="I338" s="41">
        <f t="shared" si="20"/>
        <v>17401.97</v>
      </c>
      <c r="J338" s="41">
        <f t="shared" si="20"/>
        <v>3668</v>
      </c>
      <c r="K338" s="41">
        <f t="shared" si="20"/>
        <v>0</v>
      </c>
      <c r="L338" s="41">
        <f t="shared" si="20"/>
        <v>946748.4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31911</v>
      </c>
      <c r="L344" s="19">
        <f t="shared" ref="L344:L350" si="21">SUM(F344:K344)</f>
        <v>31911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31911</v>
      </c>
      <c r="L351" s="41">
        <f>SUM(L341:L350)</f>
        <v>31911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616284.01</v>
      </c>
      <c r="G352" s="41">
        <f>G338</f>
        <v>205456.38</v>
      </c>
      <c r="H352" s="41">
        <f>H338</f>
        <v>103938.04000000001</v>
      </c>
      <c r="I352" s="41">
        <f>I338</f>
        <v>17401.97</v>
      </c>
      <c r="J352" s="41">
        <f>J338</f>
        <v>3668</v>
      </c>
      <c r="K352" s="47">
        <f>K338+K351</f>
        <v>31911</v>
      </c>
      <c r="L352" s="41">
        <f>L338+L351</f>
        <v>978659.4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766.67</v>
      </c>
      <c r="G358" s="18">
        <v>58.65</v>
      </c>
      <c r="H358" s="18">
        <v>272073.3</v>
      </c>
      <c r="I358" s="18">
        <v>7625.53</v>
      </c>
      <c r="J358" s="18">
        <v>2201.89</v>
      </c>
      <c r="K358" s="18">
        <v>198.69</v>
      </c>
      <c r="L358" s="13">
        <f>SUM(F358:K358)</f>
        <v>282924.73000000004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328.58</v>
      </c>
      <c r="G359" s="18">
        <v>25.13</v>
      </c>
      <c r="H359" s="18">
        <v>116602.84</v>
      </c>
      <c r="I359" s="18">
        <v>3268.09</v>
      </c>
      <c r="J359" s="18">
        <v>943.67</v>
      </c>
      <c r="K359" s="18">
        <v>85.16</v>
      </c>
      <c r="L359" s="19">
        <f>SUM(F359:K359)</f>
        <v>121253.47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469.4</v>
      </c>
      <c r="G360" s="18">
        <v>35.909999999999997</v>
      </c>
      <c r="H360" s="18">
        <v>166575.49</v>
      </c>
      <c r="I360" s="18">
        <v>4668.6899999999996</v>
      </c>
      <c r="J360" s="18">
        <v>1348.1</v>
      </c>
      <c r="K360" s="18">
        <v>121.65</v>
      </c>
      <c r="L360" s="19">
        <f>SUM(F360:K360)</f>
        <v>173219.24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1564.65</v>
      </c>
      <c r="G362" s="47">
        <f t="shared" si="22"/>
        <v>119.69</v>
      </c>
      <c r="H362" s="47">
        <f t="shared" si="22"/>
        <v>555251.63</v>
      </c>
      <c r="I362" s="47">
        <f t="shared" si="22"/>
        <v>15562.309999999998</v>
      </c>
      <c r="J362" s="47">
        <f t="shared" si="22"/>
        <v>4493.66</v>
      </c>
      <c r="K362" s="47">
        <f t="shared" si="22"/>
        <v>405.5</v>
      </c>
      <c r="L362" s="47">
        <f t="shared" si="22"/>
        <v>577397.44000000006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5661.86</v>
      </c>
      <c r="G367" s="18">
        <v>2426.5100000000002</v>
      </c>
      <c r="H367" s="18">
        <v>3466.45</v>
      </c>
      <c r="I367" s="56">
        <f>SUM(F367:H367)</f>
        <v>11554.82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1963.67</v>
      </c>
      <c r="G368" s="63">
        <v>841.57</v>
      </c>
      <c r="H368" s="63">
        <v>1202.25</v>
      </c>
      <c r="I368" s="56">
        <f>SUM(F368:H368)</f>
        <v>4007.4900000000002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7625.53</v>
      </c>
      <c r="G369" s="47">
        <f>SUM(G367:G368)</f>
        <v>3268.0800000000004</v>
      </c>
      <c r="H369" s="47">
        <f>SUM(H367:H368)</f>
        <v>4668.7</v>
      </c>
      <c r="I369" s="47">
        <f>SUM(I367:I368)</f>
        <v>15562.31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200000</v>
      </c>
      <c r="H389" s="18">
        <v>828.2</v>
      </c>
      <c r="I389" s="18"/>
      <c r="J389" s="24" t="s">
        <v>289</v>
      </c>
      <c r="K389" s="24" t="s">
        <v>289</v>
      </c>
      <c r="L389" s="56">
        <f t="shared" si="25"/>
        <v>200828.2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200000</v>
      </c>
      <c r="H393" s="139">
        <f>SUM(H387:H392)</f>
        <v>828.2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200828.2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182.16</v>
      </c>
      <c r="I397" s="18"/>
      <c r="J397" s="24" t="s">
        <v>289</v>
      </c>
      <c r="K397" s="24" t="s">
        <v>289</v>
      </c>
      <c r="L397" s="56">
        <f t="shared" si="26"/>
        <v>182.16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104200.53</v>
      </c>
      <c r="I400" s="18"/>
      <c r="J400" s="24" t="s">
        <v>289</v>
      </c>
      <c r="K400" s="24" t="s">
        <v>289</v>
      </c>
      <c r="L400" s="56">
        <f t="shared" si="26"/>
        <v>104200.53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104382.69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104382.69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 t="s">
        <v>911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95164.61</v>
      </c>
      <c r="I403" s="18">
        <v>19526.580000000002</v>
      </c>
      <c r="J403" s="24" t="s">
        <v>289</v>
      </c>
      <c r="K403" s="24" t="s">
        <v>289</v>
      </c>
      <c r="L403" s="56">
        <f>SUM(F403:K403)</f>
        <v>114691.19</v>
      </c>
      <c r="M403" s="8"/>
      <c r="N403" s="271"/>
    </row>
    <row r="404" spans="1:21" s="3" customFormat="1" ht="12" customHeight="1" x14ac:dyDescent="0.15">
      <c r="A404" s="110" t="s">
        <v>912</v>
      </c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>
        <v>3170.61</v>
      </c>
      <c r="I404" s="18"/>
      <c r="J404" s="24" t="s">
        <v>289</v>
      </c>
      <c r="K404" s="24" t="s">
        <v>289</v>
      </c>
      <c r="L404" s="56">
        <f>SUM(F404:K404)</f>
        <v>3170.61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98335.22</v>
      </c>
      <c r="I407" s="47">
        <f>SUM(I403:I406)</f>
        <v>19526.580000000002</v>
      </c>
      <c r="J407" s="49" t="s">
        <v>289</v>
      </c>
      <c r="K407" s="49" t="s">
        <v>289</v>
      </c>
      <c r="L407" s="47">
        <f>SUM(L403:L406)</f>
        <v>117861.8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203546.11</v>
      </c>
      <c r="I408" s="47">
        <f>I393+I401+I407</f>
        <v>19526.580000000002</v>
      </c>
      <c r="J408" s="24" t="s">
        <v>289</v>
      </c>
      <c r="K408" s="24" t="s">
        <v>289</v>
      </c>
      <c r="L408" s="47">
        <f>L393+L401+L407</f>
        <v>423072.69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161249.81+75000</f>
        <v>236249.81</v>
      </c>
      <c r="I415" s="18"/>
      <c r="J415" s="18"/>
      <c r="K415" s="18"/>
      <c r="L415" s="56">
        <f t="shared" si="27"/>
        <v>236249.81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236249.81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236249.81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1112.27</v>
      </c>
      <c r="I423" s="18"/>
      <c r="J423" s="18"/>
      <c r="K423" s="18"/>
      <c r="L423" s="56">
        <f t="shared" si="29"/>
        <v>1112.27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171543.01</v>
      </c>
      <c r="I426" s="18"/>
      <c r="J426" s="18"/>
      <c r="K426" s="18"/>
      <c r="L426" s="56">
        <f t="shared" si="29"/>
        <v>171543.01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172655.28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172655.28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911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22075</v>
      </c>
      <c r="I429" s="18"/>
      <c r="J429" s="18"/>
      <c r="K429" s="18"/>
      <c r="L429" s="56">
        <f>SUM(F429:K429)</f>
        <v>22075</v>
      </c>
      <c r="M429" s="68"/>
      <c r="N429" s="226"/>
    </row>
    <row r="430" spans="1:21" s="58" customFormat="1" ht="12" customHeight="1" x14ac:dyDescent="0.15">
      <c r="A430" s="110" t="s">
        <v>912</v>
      </c>
      <c r="B430" s="6">
        <v>17</v>
      </c>
      <c r="C430" s="6">
        <v>16</v>
      </c>
      <c r="D430" s="2" t="s">
        <v>433</v>
      </c>
      <c r="E430" s="6"/>
      <c r="F430" s="18"/>
      <c r="G430" s="18"/>
      <c r="H430" s="18">
        <v>195.17</v>
      </c>
      <c r="I430" s="18"/>
      <c r="J430" s="18"/>
      <c r="K430" s="18"/>
      <c r="L430" s="56">
        <f>SUM(F430:K430)</f>
        <v>195.17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22270.17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22270.17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431175.25999999995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431175.25999999995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612912.89</v>
      </c>
      <c r="G440" s="18">
        <v>1029845.81</v>
      </c>
      <c r="H440" s="18">
        <v>896265.24</v>
      </c>
      <c r="I440" s="56">
        <f t="shared" si="33"/>
        <v>2539023.9400000004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612912.89</v>
      </c>
      <c r="G446" s="13">
        <f>SUM(G439:G445)</f>
        <v>1029845.81</v>
      </c>
      <c r="H446" s="13">
        <f>SUM(H439:H445)</f>
        <v>896265.24</v>
      </c>
      <c r="I446" s="13">
        <f>SUM(I439:I445)</f>
        <v>2539023.9400000004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75000</v>
      </c>
      <c r="G449" s="18"/>
      <c r="H449" s="18"/>
      <c r="I449" s="56">
        <f>SUM(F449:H449)</f>
        <v>75000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75000</v>
      </c>
      <c r="G452" s="72">
        <f>SUM(G448:G451)</f>
        <v>0</v>
      </c>
      <c r="H452" s="72">
        <f>SUM(H448:H451)</f>
        <v>0</v>
      </c>
      <c r="I452" s="72">
        <f>SUM(I448:I451)</f>
        <v>75000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f>612912.89-75000</f>
        <v>537912.89</v>
      </c>
      <c r="G456" s="18">
        <v>1029845.81</v>
      </c>
      <c r="H456" s="18">
        <v>896265.24</v>
      </c>
      <c r="I456" s="56">
        <f t="shared" si="34"/>
        <v>2464023.9400000004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537912.89</v>
      </c>
      <c r="G460" s="83">
        <f>SUM(G454:G459)</f>
        <v>1029845.81</v>
      </c>
      <c r="H460" s="83">
        <f>SUM(H454:H459)</f>
        <v>896265.24</v>
      </c>
      <c r="I460" s="83">
        <f>SUM(I454:I459)</f>
        <v>2464023.9400000004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612912.89</v>
      </c>
      <c r="G461" s="42">
        <f>G452+G460</f>
        <v>1029845.81</v>
      </c>
      <c r="H461" s="42">
        <f>H452+H460</f>
        <v>896265.24</v>
      </c>
      <c r="I461" s="42">
        <f>I452+I460</f>
        <v>2539023.9400000004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904</v>
      </c>
      <c r="B465" s="105">
        <v>19</v>
      </c>
      <c r="C465" s="111">
        <v>1</v>
      </c>
      <c r="D465" s="2" t="s">
        <v>433</v>
      </c>
      <c r="E465" s="111"/>
      <c r="F465" s="18">
        <v>914320.87</v>
      </c>
      <c r="G465" s="18">
        <v>14143.04</v>
      </c>
      <c r="H465" s="18">
        <v>1665</v>
      </c>
      <c r="I465" s="18">
        <v>0</v>
      </c>
      <c r="J465" s="18">
        <v>2472126.5099999998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23896786.789999999</v>
      </c>
      <c r="G468" s="18">
        <v>585457.93000000005</v>
      </c>
      <c r="H468" s="18">
        <f>978659.4+3465</f>
        <v>982124.4</v>
      </c>
      <c r="I468" s="18">
        <v>0</v>
      </c>
      <c r="J468" s="18">
        <v>423072.69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23896786.789999999</v>
      </c>
      <c r="G470" s="53">
        <f>SUM(G468:G469)</f>
        <v>585457.93000000005</v>
      </c>
      <c r="H470" s="53">
        <f>SUM(H468:H469)</f>
        <v>982124.4</v>
      </c>
      <c r="I470" s="53">
        <f>SUM(I468:I469)</f>
        <v>0</v>
      </c>
      <c r="J470" s="53">
        <f>SUM(J468:J469)</f>
        <v>423072.69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23294722.800000001</v>
      </c>
      <c r="G472" s="18">
        <v>577397.43999999994</v>
      </c>
      <c r="H472" s="18">
        <f>978659.4</f>
        <v>978659.4</v>
      </c>
      <c r="I472" s="18">
        <v>0</v>
      </c>
      <c r="J472" s="18">
        <v>431175.26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23294722.800000001</v>
      </c>
      <c r="G474" s="53">
        <f>SUM(G472:G473)</f>
        <v>577397.43999999994</v>
      </c>
      <c r="H474" s="53">
        <f>SUM(H472:H473)</f>
        <v>978659.4</v>
      </c>
      <c r="I474" s="53">
        <f>SUM(I472:I473)</f>
        <v>0</v>
      </c>
      <c r="J474" s="53">
        <f>SUM(J472:J473)</f>
        <v>431175.26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1516384.8599999994</v>
      </c>
      <c r="G476" s="53">
        <f>(G465+G470)- G474</f>
        <v>22203.530000000144</v>
      </c>
      <c r="H476" s="53">
        <f>(H465+H470)- H474</f>
        <v>5130</v>
      </c>
      <c r="I476" s="53">
        <f>(I465+I470)- I474</f>
        <v>0</v>
      </c>
      <c r="J476" s="53">
        <f>(J465+J470)- J474</f>
        <v>2464023.9399999995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3" t="s">
        <v>913</v>
      </c>
      <c r="G491" s="273" t="s">
        <v>915</v>
      </c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3" t="s">
        <v>914</v>
      </c>
      <c r="G492" s="273" t="s">
        <v>916</v>
      </c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631625</v>
      </c>
      <c r="G493" s="18">
        <v>9247684</v>
      </c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>
        <v>5</v>
      </c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60000</v>
      </c>
      <c r="G495" s="18">
        <v>4920000</v>
      </c>
      <c r="H495" s="18"/>
      <c r="I495" s="18"/>
      <c r="J495" s="18"/>
      <c r="K495" s="53">
        <f>SUM(F495:J495)</f>
        <v>4980000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60000</v>
      </c>
      <c r="G497" s="18">
        <v>615000</v>
      </c>
      <c r="H497" s="18"/>
      <c r="I497" s="18"/>
      <c r="J497" s="18"/>
      <c r="K497" s="53">
        <f t="shared" si="35"/>
        <v>675000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0</v>
      </c>
      <c r="G498" s="203">
        <v>4305000</v>
      </c>
      <c r="H498" s="203"/>
      <c r="I498" s="203"/>
      <c r="J498" s="203"/>
      <c r="K498" s="204">
        <f t="shared" si="35"/>
        <v>4305000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1500</v>
      </c>
      <c r="G499" s="18">
        <v>528174.26</v>
      </c>
      <c r="H499" s="18"/>
      <c r="I499" s="18"/>
      <c r="J499" s="18"/>
      <c r="K499" s="53">
        <f t="shared" si="35"/>
        <v>529674.26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1500</v>
      </c>
      <c r="G500" s="42">
        <f>SUM(G498:G499)</f>
        <v>4833174.26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4834674.26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60000</v>
      </c>
      <c r="G501" s="203">
        <v>615000</v>
      </c>
      <c r="H501" s="203"/>
      <c r="I501" s="203"/>
      <c r="J501" s="203"/>
      <c r="K501" s="204">
        <f t="shared" si="35"/>
        <v>675000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1500</v>
      </c>
      <c r="G502" s="18">
        <v>190650</v>
      </c>
      <c r="H502" s="18"/>
      <c r="I502" s="18"/>
      <c r="J502" s="18"/>
      <c r="K502" s="53">
        <f t="shared" si="35"/>
        <v>192150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61500</v>
      </c>
      <c r="G503" s="42">
        <f>SUM(G501:G502)</f>
        <v>805650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867150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1389613.45</v>
      </c>
      <c r="G507" s="144">
        <v>67576.95</v>
      </c>
      <c r="H507" s="144"/>
      <c r="I507" s="144">
        <f>F507+G507</f>
        <v>1457190.4</v>
      </c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615613.15</v>
      </c>
      <c r="G511" s="24" t="s">
        <v>289</v>
      </c>
      <c r="H511" s="18">
        <v>615613.15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131796</v>
      </c>
      <c r="G512" s="24" t="s">
        <v>289</v>
      </c>
      <c r="H512" s="18">
        <v>131796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24490540.120000001</v>
      </c>
      <c r="G513" s="24" t="s">
        <v>289</v>
      </c>
      <c r="H513" s="18">
        <v>24735680.120000001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1183374.8400000001</v>
      </c>
      <c r="G514" s="24" t="s">
        <v>289</v>
      </c>
      <c r="H514" s="18">
        <v>1158045.95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27000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f>F511+F512+F513+F514+F515</f>
        <v>26448324.109999999</v>
      </c>
      <c r="H516" s="24" t="s">
        <v>289</v>
      </c>
      <c r="I516" s="18">
        <f>H511+H512+H513+H514+H515</f>
        <v>26641135.219999999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26448324.109999999</v>
      </c>
      <c r="G517" s="42">
        <f>SUM(G511:G516)</f>
        <v>26448324.109999999</v>
      </c>
      <c r="H517" s="42">
        <f>SUM(H511:H516)</f>
        <v>26641135.219999999</v>
      </c>
      <c r="I517" s="42">
        <f>SUM(I511:I516)</f>
        <v>26641135.219999999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970129.45+63273.32</f>
        <v>1033402.7699999999</v>
      </c>
      <c r="G521" s="18">
        <f>475427.15+21154.15</f>
        <v>496581.30000000005</v>
      </c>
      <c r="H521" s="18">
        <v>615222.41</v>
      </c>
      <c r="I521" s="18">
        <f>7507.55+1388.13</f>
        <v>8895.68</v>
      </c>
      <c r="J521" s="18">
        <v>3670.94</v>
      </c>
      <c r="K521" s="18"/>
      <c r="L521" s="88">
        <f>SUM(F521:K521)</f>
        <v>2157773.1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526545.35+27117.13</f>
        <v>553662.48</v>
      </c>
      <c r="G522" s="18">
        <f>304798.53+9066.06</f>
        <v>313864.59000000003</v>
      </c>
      <c r="H522" s="18">
        <v>258431.24</v>
      </c>
      <c r="I522" s="18">
        <f>5181.24+594.91</f>
        <v>5776.15</v>
      </c>
      <c r="J522" s="18"/>
      <c r="K522" s="18"/>
      <c r="L522" s="88">
        <f>SUM(F522:K522)</f>
        <v>1131734.46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713387.49+38738.76</f>
        <v>752126.25</v>
      </c>
      <c r="G523" s="18">
        <f>378586.41+12951.52</f>
        <v>391537.93</v>
      </c>
      <c r="H523" s="18">
        <v>455275.54</v>
      </c>
      <c r="I523" s="18">
        <f>6038.68+849.87</f>
        <v>6888.55</v>
      </c>
      <c r="J523" s="18">
        <v>327.39</v>
      </c>
      <c r="K523" s="18"/>
      <c r="L523" s="88">
        <f>SUM(F523:K523)</f>
        <v>1606155.66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2339191.5</v>
      </c>
      <c r="G524" s="108">
        <f t="shared" ref="G524:L524" si="36">SUM(G521:G523)</f>
        <v>1201983.82</v>
      </c>
      <c r="H524" s="108">
        <f t="shared" si="36"/>
        <v>1328929.19</v>
      </c>
      <c r="I524" s="108">
        <f t="shared" si="36"/>
        <v>21560.38</v>
      </c>
      <c r="J524" s="108">
        <f t="shared" si="36"/>
        <v>3998.33</v>
      </c>
      <c r="K524" s="108">
        <f t="shared" si="36"/>
        <v>0</v>
      </c>
      <c r="L524" s="89">
        <f t="shared" si="36"/>
        <v>4895663.22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116585.27+26827.5</f>
        <v>143412.77000000002</v>
      </c>
      <c r="G526" s="18">
        <f>64784.41+10228.33</f>
        <v>75012.740000000005</v>
      </c>
      <c r="H526" s="18">
        <f>54806.99+32830</f>
        <v>87636.989999999991</v>
      </c>
      <c r="I526" s="18">
        <f>3696.98+541.41</f>
        <v>4238.3900000000003</v>
      </c>
      <c r="J526" s="18">
        <v>1797.32</v>
      </c>
      <c r="K526" s="18">
        <v>7350</v>
      </c>
      <c r="L526" s="88">
        <f>SUM(F526:K526)</f>
        <v>319448.21000000002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116565.29+11497.5</f>
        <v>128062.79</v>
      </c>
      <c r="G527" s="18">
        <f>64767.61+4383.57</f>
        <v>69151.179999999993</v>
      </c>
      <c r="H527" s="18">
        <f>4574.18+14070</f>
        <v>18644.18</v>
      </c>
      <c r="I527" s="18">
        <f>1854.59+232.03</f>
        <v>2086.62</v>
      </c>
      <c r="J527" s="18">
        <v>770.28</v>
      </c>
      <c r="K527" s="18">
        <v>3150</v>
      </c>
      <c r="L527" s="88">
        <f>SUM(F527:K527)</f>
        <v>221865.04999999996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124792.72+16425</f>
        <v>141217.72</v>
      </c>
      <c r="G528" s="18">
        <f>69766.29+6262.25</f>
        <v>76028.539999999994</v>
      </c>
      <c r="H528" s="18">
        <f>4574.17+20100</f>
        <v>24674.17</v>
      </c>
      <c r="I528" s="18">
        <f>5385.19+331.47</f>
        <v>5716.66</v>
      </c>
      <c r="J528" s="18">
        <v>1100.4000000000001</v>
      </c>
      <c r="K528" s="18">
        <v>4500</v>
      </c>
      <c r="L528" s="88">
        <f>SUM(F528:K528)</f>
        <v>253237.49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412693.28</v>
      </c>
      <c r="G529" s="89">
        <f t="shared" ref="G529:L529" si="37">SUM(G526:G528)</f>
        <v>220192.45999999996</v>
      </c>
      <c r="H529" s="89">
        <f t="shared" si="37"/>
        <v>130955.33999999998</v>
      </c>
      <c r="I529" s="89">
        <f t="shared" si="37"/>
        <v>12041.67</v>
      </c>
      <c r="J529" s="89">
        <f t="shared" si="37"/>
        <v>3668</v>
      </c>
      <c r="K529" s="89">
        <f t="shared" si="37"/>
        <v>15000</v>
      </c>
      <c r="L529" s="89">
        <f t="shared" si="37"/>
        <v>794550.75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157227.51999999999</v>
      </c>
      <c r="G531" s="18">
        <v>65953.259999999995</v>
      </c>
      <c r="H531" s="18">
        <v>14099.92</v>
      </c>
      <c r="I531" s="18">
        <v>1834.47</v>
      </c>
      <c r="J531" s="18"/>
      <c r="K531" s="18">
        <v>12542.55</v>
      </c>
      <c r="L531" s="88">
        <f>SUM(F531:K531)</f>
        <v>251657.71999999997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67383.23</v>
      </c>
      <c r="G532" s="18">
        <v>28265.68</v>
      </c>
      <c r="H532" s="18">
        <v>6042.82</v>
      </c>
      <c r="I532" s="18">
        <v>786.2</v>
      </c>
      <c r="J532" s="18"/>
      <c r="K532" s="18">
        <v>5375.38</v>
      </c>
      <c r="L532" s="88">
        <f>SUM(F532:K532)</f>
        <v>107853.31000000001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96261.75</v>
      </c>
      <c r="G533" s="18">
        <v>40379.550000000003</v>
      </c>
      <c r="H533" s="18">
        <v>8632.61</v>
      </c>
      <c r="I533" s="18">
        <v>1123.1500000000001</v>
      </c>
      <c r="J533" s="18"/>
      <c r="K533" s="18">
        <v>7679.11</v>
      </c>
      <c r="L533" s="88">
        <f>SUM(F533:K533)</f>
        <v>154076.16999999995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320872.5</v>
      </c>
      <c r="G534" s="89">
        <f t="shared" ref="G534:L534" si="38">SUM(G531:G533)</f>
        <v>134598.49</v>
      </c>
      <c r="H534" s="89">
        <f t="shared" si="38"/>
        <v>28775.35</v>
      </c>
      <c r="I534" s="89">
        <f t="shared" si="38"/>
        <v>3743.82</v>
      </c>
      <c r="J534" s="89">
        <f t="shared" si="38"/>
        <v>0</v>
      </c>
      <c r="K534" s="89">
        <f t="shared" si="38"/>
        <v>25597.040000000001</v>
      </c>
      <c r="L534" s="89">
        <f t="shared" si="38"/>
        <v>513587.19999999995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1803.3</v>
      </c>
      <c r="I536" s="18"/>
      <c r="J536" s="18"/>
      <c r="K536" s="18"/>
      <c r="L536" s="88">
        <f>SUM(F536:K536)</f>
        <v>1803.3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772.84</v>
      </c>
      <c r="I537" s="18"/>
      <c r="J537" s="18"/>
      <c r="K537" s="18"/>
      <c r="L537" s="88">
        <f>SUM(F537:K537)</f>
        <v>772.84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1104.06</v>
      </c>
      <c r="I538" s="18"/>
      <c r="J538" s="18"/>
      <c r="K538" s="18"/>
      <c r="L538" s="88">
        <f>SUM(F538:K538)</f>
        <v>1104.06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3680.2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3680.2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228783.25+258</f>
        <v>229041.25</v>
      </c>
      <c r="I541" s="18"/>
      <c r="J541" s="18"/>
      <c r="K541" s="18"/>
      <c r="L541" s="88">
        <f>SUM(F541:K541)</f>
        <v>229041.25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147819.03</f>
        <v>147819.03</v>
      </c>
      <c r="I542" s="18"/>
      <c r="J542" s="18"/>
      <c r="K542" s="18"/>
      <c r="L542" s="88">
        <f>SUM(F542:K542)</f>
        <v>147819.03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122836.72+728.75</f>
        <v>123565.47</v>
      </c>
      <c r="I543" s="18"/>
      <c r="J543" s="18"/>
      <c r="K543" s="18"/>
      <c r="L543" s="88">
        <f>SUM(F543:K543)</f>
        <v>123565.47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500425.75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500425.75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3072757.2800000003</v>
      </c>
      <c r="G545" s="89">
        <f t="shared" ref="G545:L545" si="41">G524+G529+G534+G539+G544</f>
        <v>1556774.77</v>
      </c>
      <c r="H545" s="89">
        <f t="shared" si="41"/>
        <v>1992765.83</v>
      </c>
      <c r="I545" s="89">
        <f t="shared" si="41"/>
        <v>37345.870000000003</v>
      </c>
      <c r="J545" s="89">
        <f t="shared" si="41"/>
        <v>7666.33</v>
      </c>
      <c r="K545" s="89">
        <f t="shared" si="41"/>
        <v>40597.040000000001</v>
      </c>
      <c r="L545" s="89">
        <f t="shared" si="41"/>
        <v>6707907.1200000001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2157773.1</v>
      </c>
      <c r="G549" s="87">
        <f>L526</f>
        <v>319448.21000000002</v>
      </c>
      <c r="H549" s="87">
        <f>L531</f>
        <v>251657.71999999997</v>
      </c>
      <c r="I549" s="87">
        <f>L536</f>
        <v>1803.3</v>
      </c>
      <c r="J549" s="87">
        <f>L541</f>
        <v>229041.25</v>
      </c>
      <c r="K549" s="87">
        <f>SUM(F549:J549)</f>
        <v>2959723.58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1131734.46</v>
      </c>
      <c r="G550" s="87">
        <f>L527</f>
        <v>221865.04999999996</v>
      </c>
      <c r="H550" s="87">
        <f>L532</f>
        <v>107853.31000000001</v>
      </c>
      <c r="I550" s="87">
        <f>L537</f>
        <v>772.84</v>
      </c>
      <c r="J550" s="87">
        <f>L542</f>
        <v>147819.03</v>
      </c>
      <c r="K550" s="87">
        <f>SUM(F550:J550)</f>
        <v>1610044.6900000002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1606155.66</v>
      </c>
      <c r="G551" s="87">
        <f>L528</f>
        <v>253237.49</v>
      </c>
      <c r="H551" s="87">
        <f>L533</f>
        <v>154076.16999999995</v>
      </c>
      <c r="I551" s="87">
        <f>L538</f>
        <v>1104.06</v>
      </c>
      <c r="J551" s="87">
        <f>L543</f>
        <v>123565.47</v>
      </c>
      <c r="K551" s="87">
        <f>SUM(F551:J551)</f>
        <v>2138138.85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4895663.22</v>
      </c>
      <c r="G552" s="89">
        <f t="shared" si="42"/>
        <v>794550.75</v>
      </c>
      <c r="H552" s="89">
        <f t="shared" si="42"/>
        <v>513587.19999999995</v>
      </c>
      <c r="I552" s="89">
        <f t="shared" si="42"/>
        <v>3680.2</v>
      </c>
      <c r="J552" s="89">
        <f t="shared" si="42"/>
        <v>500425.75</v>
      </c>
      <c r="K552" s="89">
        <f t="shared" si="42"/>
        <v>6707907.120000001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13585.25</v>
      </c>
      <c r="G562" s="18">
        <v>1039.28</v>
      </c>
      <c r="H562" s="18"/>
      <c r="I562" s="18"/>
      <c r="J562" s="18"/>
      <c r="K562" s="18"/>
      <c r="L562" s="88">
        <f>SUM(F562:K562)</f>
        <v>14624.53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5822.25</v>
      </c>
      <c r="G563" s="18">
        <v>445.41</v>
      </c>
      <c r="H563" s="18"/>
      <c r="I563" s="18"/>
      <c r="J563" s="18"/>
      <c r="K563" s="18"/>
      <c r="L563" s="88">
        <f>SUM(F563:K563)</f>
        <v>6267.66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8317.5</v>
      </c>
      <c r="G564" s="18">
        <v>636.29999999999995</v>
      </c>
      <c r="H564" s="18"/>
      <c r="I564" s="18"/>
      <c r="J564" s="18"/>
      <c r="K564" s="18"/>
      <c r="L564" s="88">
        <f>SUM(F564:K564)</f>
        <v>8953.7999999999993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27725</v>
      </c>
      <c r="G565" s="89">
        <f t="shared" si="44"/>
        <v>2120.9899999999998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29845.99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30942.77</v>
      </c>
      <c r="G567" s="18">
        <v>12573.41</v>
      </c>
      <c r="H567" s="18">
        <v>2933.35</v>
      </c>
      <c r="I567" s="18">
        <v>1021.3</v>
      </c>
      <c r="J567" s="18">
        <v>254.21</v>
      </c>
      <c r="K567" s="18">
        <v>279.3</v>
      </c>
      <c r="L567" s="88">
        <f>SUM(F567:K567)</f>
        <v>48004.340000000004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13261.19</v>
      </c>
      <c r="G568" s="18">
        <v>5388.6</v>
      </c>
      <c r="H568" s="18">
        <v>1257.1500000000001</v>
      </c>
      <c r="I568" s="18">
        <v>437.7</v>
      </c>
      <c r="J568" s="18">
        <v>108.94</v>
      </c>
      <c r="K568" s="18">
        <v>119.7</v>
      </c>
      <c r="L568" s="88">
        <f>SUM(F568:K568)</f>
        <v>20573.280000000002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18944.55</v>
      </c>
      <c r="G569" s="18">
        <v>7698.01</v>
      </c>
      <c r="H569" s="18">
        <v>1795.93</v>
      </c>
      <c r="I569" s="18">
        <v>625.29</v>
      </c>
      <c r="J569" s="18">
        <v>155.63</v>
      </c>
      <c r="K569" s="18">
        <v>171</v>
      </c>
      <c r="L569" s="88">
        <f>SUM(F569:K569)</f>
        <v>29390.41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63148.509999999995</v>
      </c>
      <c r="G570" s="192">
        <f t="shared" ref="G570:L570" si="45">SUM(G567:G569)</f>
        <v>25660.020000000004</v>
      </c>
      <c r="H570" s="192">
        <f t="shared" si="45"/>
        <v>5986.43</v>
      </c>
      <c r="I570" s="192">
        <f t="shared" si="45"/>
        <v>2084.29</v>
      </c>
      <c r="J570" s="192">
        <f t="shared" si="45"/>
        <v>518.78</v>
      </c>
      <c r="K570" s="192">
        <f t="shared" si="45"/>
        <v>570</v>
      </c>
      <c r="L570" s="192">
        <f t="shared" si="45"/>
        <v>97968.030000000013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90873.51</v>
      </c>
      <c r="G571" s="89">
        <f t="shared" ref="G571:L571" si="46">G560+G565+G570</f>
        <v>27781.010000000002</v>
      </c>
      <c r="H571" s="89">
        <f t="shared" si="46"/>
        <v>5986.43</v>
      </c>
      <c r="I571" s="89">
        <f t="shared" si="46"/>
        <v>2084.29</v>
      </c>
      <c r="J571" s="89">
        <f t="shared" si="46"/>
        <v>518.78</v>
      </c>
      <c r="K571" s="89">
        <f t="shared" si="46"/>
        <v>570</v>
      </c>
      <c r="L571" s="89">
        <f t="shared" si="46"/>
        <v>127814.02000000002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13905</v>
      </c>
      <c r="I578" s="87">
        <f t="shared" si="47"/>
        <v>13905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116716.02</v>
      </c>
      <c r="G579" s="18">
        <v>22703.18</v>
      </c>
      <c r="H579" s="18">
        <v>80008.5</v>
      </c>
      <c r="I579" s="87">
        <f t="shared" si="47"/>
        <v>219427.7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263753.21999999997</v>
      </c>
      <c r="G582" s="18">
        <v>214184.48</v>
      </c>
      <c r="H582" s="18">
        <v>266286.73</v>
      </c>
      <c r="I582" s="87">
        <f t="shared" si="47"/>
        <v>744224.42999999993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212553.84</v>
      </c>
      <c r="G583" s="18"/>
      <c r="H583" s="18">
        <v>77471.25</v>
      </c>
      <c r="I583" s="87">
        <f t="shared" si="47"/>
        <v>290025.08999999997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18987.599999999999</v>
      </c>
      <c r="I584" s="87">
        <f t="shared" si="47"/>
        <v>18987.599999999999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360580.7</v>
      </c>
      <c r="I591" s="18">
        <v>154534.57999999999</v>
      </c>
      <c r="J591" s="18">
        <v>220763.69</v>
      </c>
      <c r="K591" s="104">
        <f t="shared" ref="K591:K597" si="48">SUM(H591:J591)</f>
        <v>735878.97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228783.25+258</f>
        <v>229041.25</v>
      </c>
      <c r="I592" s="18">
        <v>147819.03</v>
      </c>
      <c r="J592" s="18">
        <f>122836.72+728.75</f>
        <v>123565.47</v>
      </c>
      <c r="K592" s="104">
        <f t="shared" si="48"/>
        <v>500425.75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114696</v>
      </c>
      <c r="K593" s="104">
        <f t="shared" si="48"/>
        <v>114696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6424.25</v>
      </c>
      <c r="J594" s="18">
        <v>35348.75</v>
      </c>
      <c r="K594" s="104">
        <f t="shared" si="48"/>
        <v>41773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5877.25+3277.5</f>
        <v>9154.75</v>
      </c>
      <c r="I595" s="18">
        <v>6783.25</v>
      </c>
      <c r="J595" s="18">
        <v>2181.38</v>
      </c>
      <c r="K595" s="104">
        <f t="shared" si="48"/>
        <v>18119.38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598776.69999999995</v>
      </c>
      <c r="I598" s="108">
        <f>SUM(I591:I597)</f>
        <v>315561.11</v>
      </c>
      <c r="J598" s="108">
        <f>SUM(J591:J597)</f>
        <v>496555.29000000004</v>
      </c>
      <c r="K598" s="108">
        <f>SUM(K591:K597)</f>
        <v>1410893.0999999999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88897.78+3670.94+10038.4+14020.3</f>
        <v>116627.42</v>
      </c>
      <c r="I604" s="18">
        <f>38099.05+12407.83</f>
        <v>50506.880000000005</v>
      </c>
      <c r="J604" s="18">
        <f>54427.21+327.39+48694.56</f>
        <v>103449.16</v>
      </c>
      <c r="K604" s="104">
        <f>SUM(H604:J604)</f>
        <v>270583.45999999996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116627.42</v>
      </c>
      <c r="I605" s="108">
        <f>SUM(I602:I604)</f>
        <v>50506.880000000005</v>
      </c>
      <c r="J605" s="108">
        <f>SUM(J602:J604)</f>
        <v>103449.16</v>
      </c>
      <c r="K605" s="108">
        <f>SUM(K602:K604)</f>
        <v>270583.45999999996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4760.35+17595.14+7716+15753.51</f>
        <v>45825</v>
      </c>
      <c r="G611" s="18">
        <f>959.77+1346.05+1873.9+590.34+982.11+1205.17+2164.58</f>
        <v>9121.9199999999983</v>
      </c>
      <c r="H611" s="18">
        <f>978.14</f>
        <v>978.14</v>
      </c>
      <c r="I611" s="18">
        <f>575.48+338.04</f>
        <v>913.52</v>
      </c>
      <c r="J611" s="18"/>
      <c r="K611" s="18"/>
      <c r="L611" s="88">
        <f>SUM(F611:K611)</f>
        <v>56838.579999999994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2040.15+3353.5+20066</f>
        <v>25459.65</v>
      </c>
      <c r="G612" s="18">
        <f>411.33+256.56+193.33+1535.08+2798.19</f>
        <v>5194.49</v>
      </c>
      <c r="H612" s="18">
        <f>419.2</f>
        <v>419.2</v>
      </c>
      <c r="I612" s="18">
        <f>208.55</f>
        <v>208.55</v>
      </c>
      <c r="J612" s="18"/>
      <c r="K612" s="18"/>
      <c r="L612" s="88">
        <f>SUM(F612:K612)</f>
        <v>31281.89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2914.5+2640.75</f>
        <v>5555.25</v>
      </c>
      <c r="G613" s="18">
        <f>587.61+202.03+335.27</f>
        <v>1124.9099999999999</v>
      </c>
      <c r="H613" s="18">
        <f>598.86</f>
        <v>598.86</v>
      </c>
      <c r="I613" s="18">
        <f>21.31</f>
        <v>21.31</v>
      </c>
      <c r="J613" s="18"/>
      <c r="K613" s="18"/>
      <c r="L613" s="88">
        <f>SUM(F613:K613)</f>
        <v>7300.33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76839.899999999994</v>
      </c>
      <c r="G614" s="108">
        <f t="shared" si="49"/>
        <v>15441.319999999998</v>
      </c>
      <c r="H614" s="108">
        <f t="shared" si="49"/>
        <v>1996.1999999999998</v>
      </c>
      <c r="I614" s="108">
        <f t="shared" si="49"/>
        <v>1143.3799999999999</v>
      </c>
      <c r="J614" s="108">
        <f t="shared" si="49"/>
        <v>0</v>
      </c>
      <c r="K614" s="108">
        <f t="shared" si="49"/>
        <v>0</v>
      </c>
      <c r="L614" s="89">
        <f t="shared" si="49"/>
        <v>95420.800000000003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1708614.7599999998</v>
      </c>
      <c r="H617" s="109">
        <f>SUM(F52)</f>
        <v>1708614.7599999998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74882.990000000005</v>
      </c>
      <c r="H618" s="109">
        <f>SUM(G52)</f>
        <v>74882.989999999991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259099.55</v>
      </c>
      <c r="H619" s="109">
        <f>SUM(H52)</f>
        <v>259099.55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2539023.9400000004</v>
      </c>
      <c r="H621" s="109">
        <f>SUM(J52)</f>
        <v>2539023.9400000004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1516384.8599999999</v>
      </c>
      <c r="H622" s="109">
        <f>F476</f>
        <v>1516384.8599999994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22203.53</v>
      </c>
      <c r="H623" s="109">
        <f>G476</f>
        <v>22203.530000000144</v>
      </c>
      <c r="I623" s="121" t="s">
        <v>102</v>
      </c>
      <c r="J623" s="109">
        <f t="shared" si="50"/>
        <v>-1.4551915228366852E-10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5130</v>
      </c>
      <c r="H624" s="109">
        <f>H476</f>
        <v>5130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2464023.9400000004</v>
      </c>
      <c r="H626" s="109">
        <f>J476</f>
        <v>2464023.9399999995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23896786.789999999</v>
      </c>
      <c r="H627" s="104">
        <f>SUM(F468)</f>
        <v>23896786.789999999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585457.92999999993</v>
      </c>
      <c r="H628" s="104">
        <f>SUM(G468)</f>
        <v>585457.93000000005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982124.39999999991</v>
      </c>
      <c r="H629" s="104">
        <f>SUM(H468)</f>
        <v>982124.4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423072.69</v>
      </c>
      <c r="H631" s="104">
        <f>SUM(J468)</f>
        <v>423072.69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23294722.800000004</v>
      </c>
      <c r="H632" s="104">
        <f>SUM(F472)</f>
        <v>23294722.800000001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978659.4</v>
      </c>
      <c r="H633" s="104">
        <f>SUM(H472)</f>
        <v>978659.4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15562.309999999998</v>
      </c>
      <c r="H634" s="104">
        <f>I369</f>
        <v>15562.31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577397.44000000006</v>
      </c>
      <c r="H635" s="104">
        <f>SUM(G472)</f>
        <v>577397.43999999994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1">
        <f>SUM(L408)</f>
        <v>423072.69</v>
      </c>
      <c r="H637" s="163">
        <f>SUM(J468)</f>
        <v>423072.69</v>
      </c>
      <c r="I637" s="164" t="s">
        <v>110</v>
      </c>
      <c r="J637" s="151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1">
        <f>SUM(L434)</f>
        <v>431175.25999999995</v>
      </c>
      <c r="H638" s="163">
        <f>SUM(J472)</f>
        <v>431175.26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612912.89</v>
      </c>
      <c r="H639" s="104">
        <f>SUM(F461)</f>
        <v>612912.89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1029845.81</v>
      </c>
      <c r="H640" s="104">
        <f>SUM(G461)</f>
        <v>1029845.81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896265.24</v>
      </c>
      <c r="H641" s="104">
        <f>SUM(H461)</f>
        <v>896265.24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2539023.9400000004</v>
      </c>
      <c r="H642" s="104">
        <f>SUM(I461)</f>
        <v>2539023.9400000004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203546.11</v>
      </c>
      <c r="H644" s="104">
        <f>H408</f>
        <v>203546.11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423072.69</v>
      </c>
      <c r="H646" s="104">
        <f>L408</f>
        <v>423072.69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1410893.0999999999</v>
      </c>
      <c r="H647" s="104">
        <f>L208+L226+L244</f>
        <v>1410893.0999999999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270583.45999999996</v>
      </c>
      <c r="H648" s="104">
        <f>(J257+J338)-(J255+J336)</f>
        <v>270583.46000000002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598776.69999999995</v>
      </c>
      <c r="H649" s="104">
        <f>H598</f>
        <v>598776.69999999995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315561.11</v>
      </c>
      <c r="H650" s="104">
        <f>I598</f>
        <v>315561.11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496555.29</v>
      </c>
      <c r="H651" s="104">
        <f>J598</f>
        <v>496555.29000000004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21500</v>
      </c>
      <c r="H652" s="104">
        <f>K263+K345</f>
        <v>21500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10761136.09</v>
      </c>
      <c r="G660" s="19">
        <f>(L229+L309+L359)</f>
        <v>5541517.4700000007</v>
      </c>
      <c r="H660" s="19">
        <f>(L247+L328+L360)</f>
        <v>7364835.3600000013</v>
      </c>
      <c r="I660" s="19">
        <f>SUM(F660:H660)</f>
        <v>23667488.920000002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127455.46097231745</v>
      </c>
      <c r="G661" s="19">
        <f>(L359/IF(SUM(L358:L360)=0,1,SUM(L358:L360))*(SUM(G97:G110)))</f>
        <v>54623.775423742787</v>
      </c>
      <c r="H661" s="19">
        <f>(L360/IF(SUM(L358:L360)=0,1,SUM(L358:L360))*(SUM(G97:G110)))</f>
        <v>78033.963603939774</v>
      </c>
      <c r="I661" s="19">
        <f>SUM(F661:H661)</f>
        <v>260113.2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598776.69999999995</v>
      </c>
      <c r="G662" s="19">
        <f>(L226+L306)-(J226+J306)</f>
        <v>315561.11</v>
      </c>
      <c r="H662" s="19">
        <f>(L244+L325)-(J244+J325)</f>
        <v>496555.29</v>
      </c>
      <c r="I662" s="19">
        <f>SUM(F662:H662)</f>
        <v>1410893.0999999999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766489.08</v>
      </c>
      <c r="G663" s="198">
        <f>SUM(G575:G587)+SUM(I602:I604)+L612</f>
        <v>318676.43000000005</v>
      </c>
      <c r="H663" s="198">
        <f>SUM(H575:H587)+SUM(J602:J604)+L613</f>
        <v>567408.56999999995</v>
      </c>
      <c r="I663" s="19">
        <f>SUM(F663:H663)</f>
        <v>1652574.08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9268414.8490276821</v>
      </c>
      <c r="G664" s="19">
        <f>G660-SUM(G661:G663)</f>
        <v>4852656.1545762578</v>
      </c>
      <c r="H664" s="19">
        <f>H660-SUM(H661:H663)</f>
        <v>6222837.536396062</v>
      </c>
      <c r="I664" s="19">
        <f>I660-SUM(I661:I663)</f>
        <v>20343908.540000003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693.62</v>
      </c>
      <c r="G665" s="247">
        <v>298.36</v>
      </c>
      <c r="H665" s="247">
        <v>422.84</v>
      </c>
      <c r="I665" s="19">
        <f>SUM(F665:H665)</f>
        <v>1414.82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13362.38</v>
      </c>
      <c r="G667" s="19">
        <f>ROUND(G664/G665,2)</f>
        <v>16264.43</v>
      </c>
      <c r="H667" s="19">
        <f>ROUND(H664/H665,2)</f>
        <v>14716.77</v>
      </c>
      <c r="I667" s="19">
        <f>ROUND(I664/I665,2)</f>
        <v>14379.15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-2.89</v>
      </c>
      <c r="I670" s="19">
        <f>SUM(F670:H670)</f>
        <v>-2.89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13362.38</v>
      </c>
      <c r="G672" s="19">
        <f>ROUND((G664+G669)/(G665+G670),2)</f>
        <v>16264.43</v>
      </c>
      <c r="H672" s="19">
        <f>ROUND((H664+H669)/(H665+H670),2)</f>
        <v>14818.04</v>
      </c>
      <c r="I672" s="19">
        <f>ROUND((I664+I669)/(I665+I670),2)</f>
        <v>14408.58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21" sqref="I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Jaffrey-Rindge Cooperative School District (SAU47)</v>
      </c>
      <c r="C1" s="237" t="s">
        <v>839</v>
      </c>
    </row>
    <row r="2" spans="1:3" x14ac:dyDescent="0.2">
      <c r="A2" s="232"/>
      <c r="B2" s="231"/>
    </row>
    <row r="3" spans="1:3" x14ac:dyDescent="0.2">
      <c r="A3" s="279" t="s">
        <v>784</v>
      </c>
      <c r="B3" s="279"/>
      <c r="C3" s="279"/>
    </row>
    <row r="4" spans="1:3" x14ac:dyDescent="0.2">
      <c r="A4" s="235"/>
      <c r="B4" s="236" t="str">
        <f>'DOE25'!H1</f>
        <v>DOE 25  2014-2015</v>
      </c>
      <c r="C4" s="235"/>
    </row>
    <row r="5" spans="1:3" x14ac:dyDescent="0.2">
      <c r="A5" s="232"/>
      <c r="B5" s="231"/>
    </row>
    <row r="6" spans="1:3" x14ac:dyDescent="0.2">
      <c r="A6" s="226"/>
      <c r="B6" s="278" t="s">
        <v>783</v>
      </c>
      <c r="C6" s="278"/>
    </row>
    <row r="7" spans="1:3" x14ac:dyDescent="0.2">
      <c r="A7" s="238" t="s">
        <v>786</v>
      </c>
      <c r="B7" s="276" t="s">
        <v>782</v>
      </c>
      <c r="C7" s="277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5154234.2600000007</v>
      </c>
      <c r="C9" s="228">
        <f>'DOE25'!G197+'DOE25'!G215+'DOE25'!G233+'DOE25'!G276+'DOE25'!G295+'DOE25'!G314</f>
        <v>2460484.27</v>
      </c>
    </row>
    <row r="10" spans="1:3" x14ac:dyDescent="0.2">
      <c r="A10" t="s">
        <v>779</v>
      </c>
      <c r="B10" s="239">
        <v>5018028.5199999996</v>
      </c>
      <c r="C10" s="239">
        <v>2450064.5299999998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136205.74</v>
      </c>
      <c r="C12" s="239">
        <v>10419.74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5154234.26</v>
      </c>
      <c r="C13" s="230">
        <f>SUM(C10:C12)</f>
        <v>2460484.27</v>
      </c>
    </row>
    <row r="14" spans="1:3" x14ac:dyDescent="0.2">
      <c r="B14" s="229"/>
      <c r="C14" s="229"/>
    </row>
    <row r="15" spans="1:3" x14ac:dyDescent="0.2">
      <c r="B15" s="278" t="s">
        <v>783</v>
      </c>
      <c r="C15" s="278"/>
    </row>
    <row r="16" spans="1:3" x14ac:dyDescent="0.2">
      <c r="A16" s="238" t="s">
        <v>787</v>
      </c>
      <c r="B16" s="276" t="s">
        <v>707</v>
      </c>
      <c r="C16" s="277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2679222.9899999998</v>
      </c>
      <c r="C18" s="228">
        <f>'DOE25'!G198+'DOE25'!G216+'DOE25'!G234+'DOE25'!G277+'DOE25'!G296+'DOE25'!G315</f>
        <v>1371589.83</v>
      </c>
    </row>
    <row r="19" spans="1:3" x14ac:dyDescent="0.2">
      <c r="A19" t="s">
        <v>779</v>
      </c>
      <c r="B19" s="239">
        <v>1568441.37</v>
      </c>
      <c r="C19" s="239">
        <v>817590.21</v>
      </c>
    </row>
    <row r="20" spans="1:3" x14ac:dyDescent="0.2">
      <c r="A20" t="s">
        <v>780</v>
      </c>
      <c r="B20" s="239">
        <v>734353.36</v>
      </c>
      <c r="C20" s="239">
        <v>382804.43</v>
      </c>
    </row>
    <row r="21" spans="1:3" x14ac:dyDescent="0.2">
      <c r="A21" t="s">
        <v>781</v>
      </c>
      <c r="B21" s="239">
        <v>376428.26</v>
      </c>
      <c r="C21" s="239">
        <v>171195.19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2679222.9900000002</v>
      </c>
      <c r="C22" s="230">
        <f>SUM(C19:C21)</f>
        <v>1371589.8299999998</v>
      </c>
    </row>
    <row r="23" spans="1:3" x14ac:dyDescent="0.2">
      <c r="B23" s="229"/>
      <c r="C23" s="229"/>
    </row>
    <row r="24" spans="1:3" x14ac:dyDescent="0.2">
      <c r="B24" s="278" t="s">
        <v>783</v>
      </c>
      <c r="C24" s="278"/>
    </row>
    <row r="25" spans="1:3" x14ac:dyDescent="0.2">
      <c r="A25" s="238" t="s">
        <v>788</v>
      </c>
      <c r="B25" s="276" t="s">
        <v>708</v>
      </c>
      <c r="C25" s="277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250134.89</v>
      </c>
      <c r="C27" s="233">
        <f>'DOE25'!G199+'DOE25'!G217+'DOE25'!G235+'DOE25'!G278+'DOE25'!G297+'DOE25'!G316</f>
        <v>116410.68</v>
      </c>
    </row>
    <row r="28" spans="1:3" x14ac:dyDescent="0.2">
      <c r="A28" t="s">
        <v>779</v>
      </c>
      <c r="B28" s="239">
        <v>230697</v>
      </c>
      <c r="C28" s="239">
        <v>114923.68</v>
      </c>
    </row>
    <row r="29" spans="1:3" x14ac:dyDescent="0.2">
      <c r="A29" t="s">
        <v>780</v>
      </c>
      <c r="B29" s="239">
        <v>19437.89</v>
      </c>
      <c r="C29" s="239">
        <v>1487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250134.89</v>
      </c>
      <c r="C31" s="230">
        <f>SUM(C28:C30)</f>
        <v>116410.68</v>
      </c>
    </row>
    <row r="33" spans="1:3" x14ac:dyDescent="0.2">
      <c r="B33" s="278" t="s">
        <v>783</v>
      </c>
      <c r="C33" s="278"/>
    </row>
    <row r="34" spans="1:3" x14ac:dyDescent="0.2">
      <c r="A34" s="238" t="s">
        <v>789</v>
      </c>
      <c r="B34" s="276" t="s">
        <v>709</v>
      </c>
      <c r="C34" s="277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365606.18999999994</v>
      </c>
      <c r="C36" s="234">
        <f>'DOE25'!G200+'DOE25'!G218+'DOE25'!G236+'DOE25'!G279+'DOE25'!G298+'DOE25'!G317</f>
        <v>84876.63</v>
      </c>
    </row>
    <row r="37" spans="1:3" x14ac:dyDescent="0.2">
      <c r="A37" t="s">
        <v>779</v>
      </c>
      <c r="B37" s="239">
        <f>91670.96+129623.81+33562.45+33593.25-40335.48</f>
        <v>248114.99000000002</v>
      </c>
      <c r="C37" s="239">
        <v>75888.55</v>
      </c>
    </row>
    <row r="38" spans="1:3" x14ac:dyDescent="0.2">
      <c r="A38" t="s">
        <v>780</v>
      </c>
      <c r="B38" s="239">
        <f>33562.45+5000</f>
        <v>38562.449999999997</v>
      </c>
      <c r="C38" s="239">
        <v>2950.03</v>
      </c>
    </row>
    <row r="39" spans="1:3" x14ac:dyDescent="0.2">
      <c r="A39" t="s">
        <v>781</v>
      </c>
      <c r="B39" s="239">
        <f>38593.27+40335.48</f>
        <v>78928.75</v>
      </c>
      <c r="C39" s="239">
        <v>6038.05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365606.19</v>
      </c>
      <c r="C40" s="230">
        <f>SUM(C37:C39)</f>
        <v>84876.63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FY2014-2015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0"/>
    </row>
    <row r="2" spans="1:9" x14ac:dyDescent="0.2">
      <c r="A2" s="33" t="s">
        <v>717</v>
      </c>
      <c r="B2" s="264" t="str">
        <f>'DOE25'!A2</f>
        <v>Jaffrey-Rindge Cooperative School District (SAU47)</v>
      </c>
      <c r="C2" s="180"/>
      <c r="D2" s="180" t="s">
        <v>792</v>
      </c>
      <c r="E2" s="180" t="s">
        <v>794</v>
      </c>
      <c r="F2" s="280" t="s">
        <v>821</v>
      </c>
      <c r="G2" s="281"/>
      <c r="H2" s="282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13603936.920000002</v>
      </c>
      <c r="D5" s="20">
        <f>SUM('DOE25'!L197:L200)+SUM('DOE25'!L215:L218)+SUM('DOE25'!L233:L236)-F5-G5</f>
        <v>13530085.390000002</v>
      </c>
      <c r="E5" s="242"/>
      <c r="F5" s="254">
        <f>SUM('DOE25'!J197:J200)+SUM('DOE25'!J215:J218)+SUM('DOE25'!J233:J236)</f>
        <v>36406.17</v>
      </c>
      <c r="G5" s="53">
        <f>SUM('DOE25'!K197:K200)+SUM('DOE25'!K215:K218)+SUM('DOE25'!K233:K236)</f>
        <v>37445.360000000001</v>
      </c>
      <c r="H5" s="258"/>
    </row>
    <row r="6" spans="1:9" x14ac:dyDescent="0.2">
      <c r="A6" s="32">
        <v>2100</v>
      </c>
      <c r="B6" t="s">
        <v>801</v>
      </c>
      <c r="C6" s="244">
        <f t="shared" si="0"/>
        <v>1481029.02</v>
      </c>
      <c r="D6" s="20">
        <f>'DOE25'!L202+'DOE25'!L220+'DOE25'!L238-F6-G6</f>
        <v>1477627.66</v>
      </c>
      <c r="E6" s="242"/>
      <c r="F6" s="254">
        <f>'DOE25'!J202+'DOE25'!J220+'DOE25'!J238</f>
        <v>3281.36</v>
      </c>
      <c r="G6" s="53">
        <f>'DOE25'!K202+'DOE25'!K220+'DOE25'!K238</f>
        <v>120</v>
      </c>
      <c r="H6" s="258"/>
    </row>
    <row r="7" spans="1:9" x14ac:dyDescent="0.2">
      <c r="A7" s="32">
        <v>2200</v>
      </c>
      <c r="B7" t="s">
        <v>834</v>
      </c>
      <c r="C7" s="244">
        <f t="shared" si="0"/>
        <v>694087.15</v>
      </c>
      <c r="D7" s="20">
        <f>'DOE25'!L203+'DOE25'!L221+'DOE25'!L239-F7-G7</f>
        <v>660543.80000000005</v>
      </c>
      <c r="E7" s="242"/>
      <c r="F7" s="254">
        <f>'DOE25'!J203+'DOE25'!J221+'DOE25'!J239</f>
        <v>27483.350000000002</v>
      </c>
      <c r="G7" s="53">
        <f>'DOE25'!K203+'DOE25'!K221+'DOE25'!K239</f>
        <v>6060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10214.46000000001</v>
      </c>
      <c r="D8" s="242"/>
      <c r="E8" s="20">
        <f>'DOE25'!L204+'DOE25'!L222+'DOE25'!L240-F8-G8-D9-D11</f>
        <v>1.0000000009313226E-2</v>
      </c>
      <c r="F8" s="254">
        <f>'DOE25'!J204+'DOE25'!J222+'DOE25'!J240</f>
        <v>0</v>
      </c>
      <c r="G8" s="53">
        <f>'DOE25'!K204+'DOE25'!K222+'DOE25'!K240</f>
        <v>10214.450000000001</v>
      </c>
      <c r="H8" s="258"/>
    </row>
    <row r="9" spans="1:9" x14ac:dyDescent="0.2">
      <c r="A9" s="32">
        <v>2310</v>
      </c>
      <c r="B9" t="s">
        <v>818</v>
      </c>
      <c r="C9" s="244">
        <f t="shared" si="0"/>
        <v>108479.41</v>
      </c>
      <c r="D9" s="243">
        <v>108479.41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24750</v>
      </c>
      <c r="D10" s="242"/>
      <c r="E10" s="243">
        <v>24750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302365.52</v>
      </c>
      <c r="D11" s="243">
        <v>302365.52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1196196.7400000002</v>
      </c>
      <c r="D12" s="20">
        <f>'DOE25'!L205+'DOE25'!L223+'DOE25'!L241-F12-G12</f>
        <v>1186962.6600000001</v>
      </c>
      <c r="E12" s="242"/>
      <c r="F12" s="254">
        <f>'DOE25'!J205+'DOE25'!J223+'DOE25'!J241</f>
        <v>2508.33</v>
      </c>
      <c r="G12" s="53">
        <f>'DOE25'!K205+'DOE25'!K223+'DOE25'!K241</f>
        <v>6725.75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475930.39</v>
      </c>
      <c r="D13" s="242"/>
      <c r="E13" s="20">
        <f>'DOE25'!L206+'DOE25'!L224+'DOE25'!L242-F13-G13</f>
        <v>459333.9</v>
      </c>
      <c r="F13" s="254">
        <f>'DOE25'!J206+'DOE25'!J224+'DOE25'!J242</f>
        <v>6043.2</v>
      </c>
      <c r="G13" s="53">
        <f>'DOE25'!K206+'DOE25'!K224+'DOE25'!K242</f>
        <v>10553.289999999999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2073348.44</v>
      </c>
      <c r="D14" s="20">
        <f>'DOE25'!L207+'DOE25'!L225+'DOE25'!L243-F14-G14</f>
        <v>2072183.44</v>
      </c>
      <c r="E14" s="242"/>
      <c r="F14" s="254">
        <f>'DOE25'!J207+'DOE25'!J225+'DOE25'!J243</f>
        <v>790</v>
      </c>
      <c r="G14" s="53">
        <f>'DOE25'!K207+'DOE25'!K225+'DOE25'!K243</f>
        <v>375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1410893.0999999999</v>
      </c>
      <c r="D15" s="20">
        <f>'DOE25'!L208+'DOE25'!L226+'DOE25'!L244-F15-G15</f>
        <v>1410893.0999999999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809555.55</v>
      </c>
      <c r="D16" s="242"/>
      <c r="E16" s="20">
        <f>'DOE25'!L209+'DOE25'!L227+'DOE25'!L245-F16-G16</f>
        <v>619152.5</v>
      </c>
      <c r="F16" s="254">
        <f>'DOE25'!J209+'DOE25'!J227+'DOE25'!J245</f>
        <v>190403.05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1136.0999999999999</v>
      </c>
      <c r="D17" s="20">
        <f>'DOE25'!L251-F17-G17</f>
        <v>1136.0999999999999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5150</v>
      </c>
      <c r="D22" s="242"/>
      <c r="E22" s="242"/>
      <c r="F22" s="254">
        <f>'DOE25'!L255+'DOE25'!L336</f>
        <v>5150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900900</v>
      </c>
      <c r="D25" s="242"/>
      <c r="E25" s="242"/>
      <c r="F25" s="257"/>
      <c r="G25" s="255"/>
      <c r="H25" s="256">
        <f>'DOE25'!L260+'DOE25'!L261+'DOE25'!L341+'DOE25'!L342</f>
        <v>900900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565842.62000000011</v>
      </c>
      <c r="D29" s="20">
        <f>'DOE25'!L358+'DOE25'!L359+'DOE25'!L360-'DOE25'!I367-F29-G29</f>
        <v>560943.46000000008</v>
      </c>
      <c r="E29" s="242"/>
      <c r="F29" s="254">
        <f>'DOE25'!J358+'DOE25'!J359+'DOE25'!J360</f>
        <v>4493.66</v>
      </c>
      <c r="G29" s="53">
        <f>'DOE25'!K358+'DOE25'!K359+'DOE25'!K360</f>
        <v>405.5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931209.78</v>
      </c>
      <c r="D31" s="20">
        <f>'DOE25'!L290+'DOE25'!L309+'DOE25'!L328+'DOE25'!L333+'DOE25'!L334+'DOE25'!L335-F31-G31</f>
        <v>927541.78</v>
      </c>
      <c r="E31" s="242"/>
      <c r="F31" s="254">
        <f>'DOE25'!J290+'DOE25'!J309+'DOE25'!J328+'DOE25'!J333+'DOE25'!J334+'DOE25'!J335</f>
        <v>3668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22238762.320000011</v>
      </c>
      <c r="E33" s="245">
        <f>SUM(E5:E31)</f>
        <v>1103236.4100000001</v>
      </c>
      <c r="F33" s="245">
        <f>SUM(F5:F31)</f>
        <v>280227.11999999994</v>
      </c>
      <c r="G33" s="245">
        <f>SUM(G5:G31)</f>
        <v>71899.349999999991</v>
      </c>
      <c r="H33" s="245">
        <f>SUM(H5:H31)</f>
        <v>900900</v>
      </c>
    </row>
    <row r="35" spans="2:8" ht="12" thickBot="1" x14ac:dyDescent="0.25">
      <c r="B35" s="252" t="s">
        <v>847</v>
      </c>
      <c r="D35" s="253">
        <f>E33</f>
        <v>1103236.4100000001</v>
      </c>
      <c r="E35" s="248"/>
    </row>
    <row r="36" spans="2:8" ht="12" thickTop="1" x14ac:dyDescent="0.2">
      <c r="B36" t="s">
        <v>815</v>
      </c>
      <c r="D36" s="20">
        <f>D33</f>
        <v>22238762.320000011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B153" sqref="B15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(SAU47)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1397887.42</v>
      </c>
      <c r="D8" s="95">
        <f>'DOE25'!G9</f>
        <v>647.65</v>
      </c>
      <c r="E8" s="95">
        <f>'DOE25'!H9</f>
        <v>2465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2539023.9400000004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217597.24</v>
      </c>
      <c r="D11" s="95">
        <f>'DOE25'!G12</f>
        <v>33452.300000000003</v>
      </c>
      <c r="E11" s="95">
        <f>'DOE25'!H12</f>
        <v>2665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80109.66</v>
      </c>
      <c r="D12" s="95">
        <f>'DOE25'!G13</f>
        <v>18922.04</v>
      </c>
      <c r="E12" s="95">
        <f>'DOE25'!H13</f>
        <v>253969.55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447.44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21861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12573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1708614.7599999998</v>
      </c>
      <c r="D18" s="41">
        <f>SUM(D8:D17)</f>
        <v>74882.990000000005</v>
      </c>
      <c r="E18" s="41">
        <f>SUM(E8:E17)</f>
        <v>259099.55</v>
      </c>
      <c r="F18" s="41">
        <f>SUM(F8:F17)</f>
        <v>0</v>
      </c>
      <c r="G18" s="41">
        <f>SUM(G8:G17)</f>
        <v>2539023.9400000004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253714.54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75000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121483.12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36893.5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34038.25</v>
      </c>
      <c r="D27" s="95">
        <f>'DOE25'!G28</f>
        <v>15</v>
      </c>
      <c r="E27" s="95">
        <f>'DOE25'!H28</f>
        <v>218.49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36708.53</v>
      </c>
      <c r="D28" s="95">
        <f>'DOE25'!G29</f>
        <v>1.1499999999999999</v>
      </c>
      <c r="E28" s="95">
        <f>'DOE25'!H29</f>
        <v>36.519999999999996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15769.81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192229.9</v>
      </c>
      <c r="D31" s="41">
        <f>SUM(D21:D30)</f>
        <v>52679.46</v>
      </c>
      <c r="E31" s="41">
        <f>SUM(E21:E30)</f>
        <v>253969.55</v>
      </c>
      <c r="F31" s="41">
        <f>SUM(F21:F30)</f>
        <v>0</v>
      </c>
      <c r="G31" s="41">
        <f>SUM(G21:G30)</f>
        <v>75000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21861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12573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342.53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5130</v>
      </c>
      <c r="F42" s="95">
        <f>'DOE25'!I43</f>
        <v>0</v>
      </c>
      <c r="G42" s="95">
        <f>'DOE25'!J43</f>
        <v>2464023.9400000004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150000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225332.66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7899.23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720579.97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1516384.8599999999</v>
      </c>
      <c r="D50" s="41">
        <f>SUM(D34:D49)</f>
        <v>22203.53</v>
      </c>
      <c r="E50" s="41">
        <f>SUM(E34:E49)</f>
        <v>5130</v>
      </c>
      <c r="F50" s="41">
        <f>SUM(F34:F49)</f>
        <v>0</v>
      </c>
      <c r="G50" s="41">
        <f>SUM(G34:G49)</f>
        <v>2464023.9400000004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1708614.7599999998</v>
      </c>
      <c r="D51" s="41">
        <f>D50+D31</f>
        <v>74882.989999999991</v>
      </c>
      <c r="E51" s="41">
        <f>E50+E31</f>
        <v>259099.55</v>
      </c>
      <c r="F51" s="41">
        <f>F50+F31</f>
        <v>0</v>
      </c>
      <c r="G51" s="41">
        <f>G50+G31</f>
        <v>2539023.9400000004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15143120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30519.77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203546.11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260113.2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480927.03</v>
      </c>
      <c r="D61" s="95">
        <f>SUM('DOE25'!G98:G110)</f>
        <v>0</v>
      </c>
      <c r="E61" s="95">
        <f>SUM('DOE25'!H98:H110)</f>
        <v>3465</v>
      </c>
      <c r="F61" s="95">
        <f>SUM('DOE25'!I98:I110)</f>
        <v>0</v>
      </c>
      <c r="G61" s="95">
        <f>SUM('DOE25'!J98:J110)</f>
        <v>19526.580000000002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511446.80000000005</v>
      </c>
      <c r="D62" s="130">
        <f>SUM(D57:D61)</f>
        <v>260113.2</v>
      </c>
      <c r="E62" s="130">
        <f>SUM(E57:E61)</f>
        <v>3465</v>
      </c>
      <c r="F62" s="130">
        <f>SUM(F57:F61)</f>
        <v>0</v>
      </c>
      <c r="G62" s="130">
        <f>SUM(G57:G61)</f>
        <v>223072.69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15654566.800000001</v>
      </c>
      <c r="D63" s="22">
        <f>D56+D62</f>
        <v>260113.2</v>
      </c>
      <c r="E63" s="22">
        <f>E56+E62</f>
        <v>3465</v>
      </c>
      <c r="F63" s="22">
        <f>F56+F62</f>
        <v>0</v>
      </c>
      <c r="G63" s="22">
        <f>G56+G62</f>
        <v>223072.69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5191284.0999999996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2212048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7403332.0999999996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325898.36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292111.75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3444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7965.91</v>
      </c>
      <c r="E77" s="95">
        <f>SUM('DOE25'!H131:H135)</f>
        <v>7241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621454.11</v>
      </c>
      <c r="D78" s="130">
        <f>SUM(D72:D77)</f>
        <v>7965.91</v>
      </c>
      <c r="E78" s="130">
        <f>SUM(E72:E77)</f>
        <v>7241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8024786.21</v>
      </c>
      <c r="D81" s="130">
        <f>SUM(D79:D80)+D78+D70</f>
        <v>7965.91</v>
      </c>
      <c r="E81" s="130">
        <f>SUM(E79:E80)+E78+E70</f>
        <v>7241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185522.78</v>
      </c>
      <c r="D88" s="95">
        <f>SUM('DOE25'!G153:G161)</f>
        <v>295878.82</v>
      </c>
      <c r="E88" s="95">
        <f>SUM('DOE25'!H153:H161)</f>
        <v>971418.39999999991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185522.78</v>
      </c>
      <c r="D91" s="131">
        <f>SUM(D85:D90)</f>
        <v>295878.82</v>
      </c>
      <c r="E91" s="131">
        <f>SUM(E85:E90)</f>
        <v>971418.39999999991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21500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31911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31911</v>
      </c>
      <c r="D103" s="86">
        <f>SUM(D93:D102)</f>
        <v>21500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23896786.790000003</v>
      </c>
      <c r="D104" s="86">
        <f>D63+D81+D91+D103</f>
        <v>585457.92999999993</v>
      </c>
      <c r="E104" s="86">
        <f>E63+E81+E91+E103</f>
        <v>982124.39999999991</v>
      </c>
      <c r="F104" s="86">
        <f>F63+F81+F91+F103</f>
        <v>0</v>
      </c>
      <c r="G104" s="86">
        <f>G63+G81+G103</f>
        <v>423072.69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7604232.25</v>
      </c>
      <c r="D109" s="24" t="s">
        <v>289</v>
      </c>
      <c r="E109" s="95">
        <f>('DOE25'!L276)+('DOE25'!L295)+('DOE25'!L314)</f>
        <v>336305.42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5283333.3400000008</v>
      </c>
      <c r="D110" s="24" t="s">
        <v>289</v>
      </c>
      <c r="E110" s="95">
        <f>('DOE25'!L277)+('DOE25'!L296)+('DOE25'!L315)</f>
        <v>175133.84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414736.13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301635.20000000001</v>
      </c>
      <c r="D112" s="24" t="s">
        <v>289</v>
      </c>
      <c r="E112" s="95">
        <f>+('DOE25'!L279)+('DOE25'!L298)+('DOE25'!L317)</f>
        <v>237988.08999999997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15538.619999999999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1136.0999999999999</v>
      </c>
      <c r="D114" s="24" t="s">
        <v>289</v>
      </c>
      <c r="E114" s="95">
        <f>+ SUM('DOE25'!L333:L335)</f>
        <v>7155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13605073.02</v>
      </c>
      <c r="D115" s="86">
        <f>SUM(D109:D114)</f>
        <v>0</v>
      </c>
      <c r="E115" s="86">
        <f>SUM(E109:E114)</f>
        <v>772120.97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1481029.02</v>
      </c>
      <c r="D118" s="24" t="s">
        <v>289</v>
      </c>
      <c r="E118" s="95">
        <f>+('DOE25'!L281)+('DOE25'!L300)+('DOE25'!L319)</f>
        <v>87713.53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694087.15</v>
      </c>
      <c r="D119" s="24" t="s">
        <v>289</v>
      </c>
      <c r="E119" s="95">
        <f>+('DOE25'!L282)+('DOE25'!L301)+('DOE25'!L320)</f>
        <v>86913.900000000009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421059.39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1196196.7400000002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475930.39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2073348.44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1410893.0999999999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809555.54999999993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577397.44000000006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8562099.7800000012</v>
      </c>
      <c r="D128" s="86">
        <f>SUM(D118:D127)</f>
        <v>577397.44000000006</v>
      </c>
      <c r="E128" s="86">
        <f>SUM(E118:E127)</f>
        <v>174627.43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5150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225900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31911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21500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200828.2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104382.69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117861.8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-223072.69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1127550</v>
      </c>
      <c r="D144" s="141">
        <f>SUM(D130:D143)</f>
        <v>0</v>
      </c>
      <c r="E144" s="141">
        <f>SUM(E130:E143)</f>
        <v>31911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23294722.800000001</v>
      </c>
      <c r="D145" s="86">
        <f>(D115+D128+D144)</f>
        <v>577397.44000000006</v>
      </c>
      <c r="E145" s="86">
        <f>(E115+E128+E144)</f>
        <v>978659.39999999991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07/05</v>
      </c>
      <c r="C152" s="152" t="str">
        <f>'DOE25'!G491</f>
        <v>07/06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 t="str">
        <f>'DOE25'!G492</f>
        <v>08/21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631625</v>
      </c>
      <c r="C154" s="137">
        <f>'DOE25'!G493</f>
        <v>9247684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60000</v>
      </c>
      <c r="C156" s="137">
        <f>'DOE25'!G495</f>
        <v>4920000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60000</v>
      </c>
      <c r="C158" s="137">
        <f>'DOE25'!G497</f>
        <v>615000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675000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4305000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4305000</v>
      </c>
    </row>
    <row r="160" spans="1:9" x14ac:dyDescent="0.2">
      <c r="A160" s="22" t="s">
        <v>36</v>
      </c>
      <c r="B160" s="137">
        <f>'DOE25'!F499</f>
        <v>1500</v>
      </c>
      <c r="C160" s="137">
        <f>'DOE25'!G499</f>
        <v>528174.26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529674.26</v>
      </c>
    </row>
    <row r="161" spans="1:7" x14ac:dyDescent="0.2">
      <c r="A161" s="22" t="s">
        <v>37</v>
      </c>
      <c r="B161" s="137">
        <f>'DOE25'!F500</f>
        <v>1500</v>
      </c>
      <c r="C161" s="137">
        <f>'DOE25'!G500</f>
        <v>4833174.26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4834674.26</v>
      </c>
    </row>
    <row r="162" spans="1:7" x14ac:dyDescent="0.2">
      <c r="A162" s="22" t="s">
        <v>38</v>
      </c>
      <c r="B162" s="137">
        <f>'DOE25'!F501</f>
        <v>60000</v>
      </c>
      <c r="C162" s="137">
        <f>'DOE25'!G501</f>
        <v>615000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675000</v>
      </c>
    </row>
    <row r="163" spans="1:7" x14ac:dyDescent="0.2">
      <c r="A163" s="22" t="s">
        <v>39</v>
      </c>
      <c r="B163" s="137">
        <f>'DOE25'!F502</f>
        <v>1500</v>
      </c>
      <c r="C163" s="137">
        <f>'DOE25'!G502</f>
        <v>190650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192150</v>
      </c>
    </row>
    <row r="164" spans="1:7" x14ac:dyDescent="0.2">
      <c r="A164" s="22" t="s">
        <v>246</v>
      </c>
      <c r="B164" s="137">
        <f>'DOE25'!F503</f>
        <v>61500</v>
      </c>
      <c r="C164" s="137">
        <f>'DOE25'!G503</f>
        <v>805650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867150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6" t="s">
        <v>717</v>
      </c>
      <c r="B2" s="185" t="str">
        <f>'DOE25'!A2</f>
        <v>Jaffrey-Rindge Cooperative School District (SAU47)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13362</v>
      </c>
    </row>
    <row r="5" spans="1:4" x14ac:dyDescent="0.2">
      <c r="B5" t="s">
        <v>704</v>
      </c>
      <c r="C5" s="178">
        <f>IF('DOE25'!G665+'DOE25'!G670=0,0,ROUND('DOE25'!G672,0))</f>
        <v>16264</v>
      </c>
    </row>
    <row r="6" spans="1:4" x14ac:dyDescent="0.2">
      <c r="B6" t="s">
        <v>62</v>
      </c>
      <c r="C6" s="178">
        <f>IF('DOE25'!H665+'DOE25'!H670=0,0,ROUND('DOE25'!H672,0))</f>
        <v>14818</v>
      </c>
    </row>
    <row r="7" spans="1:4" x14ac:dyDescent="0.2">
      <c r="B7" t="s">
        <v>705</v>
      </c>
      <c r="C7" s="178">
        <f>IF('DOE25'!I665+'DOE25'!I670=0,0,ROUND('DOE25'!I672,0))</f>
        <v>14409</v>
      </c>
    </row>
    <row r="9" spans="1:4" x14ac:dyDescent="0.2">
      <c r="A9" s="186" t="s">
        <v>94</v>
      </c>
      <c r="B9" s="187" t="s">
        <v>909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7940538</v>
      </c>
      <c r="D10" s="181">
        <f>ROUND((C10/$C$28)*100,1)</f>
        <v>33.6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5458467</v>
      </c>
      <c r="D11" s="181">
        <f>ROUND((C11/$C$28)*100,1)</f>
        <v>23.1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414736</v>
      </c>
      <c r="D12" s="181">
        <f>ROUND((C12/$C$28)*100,1)</f>
        <v>1.8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539623</v>
      </c>
      <c r="D13" s="181">
        <f>ROUND((C13/$C$28)*100,1)</f>
        <v>2.2999999999999998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1568743</v>
      </c>
      <c r="D15" s="181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781001</v>
      </c>
      <c r="D16" s="181">
        <f t="shared" si="0"/>
        <v>3.3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1230615</v>
      </c>
      <c r="D17" s="181">
        <f t="shared" si="0"/>
        <v>5.2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1196197</v>
      </c>
      <c r="D18" s="181">
        <f t="shared" si="0"/>
        <v>5.0999999999999996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475930</v>
      </c>
      <c r="D19" s="181">
        <f t="shared" si="0"/>
        <v>2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2073348</v>
      </c>
      <c r="D20" s="181">
        <f t="shared" si="0"/>
        <v>8.8000000000000007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1410893</v>
      </c>
      <c r="D21" s="181">
        <f t="shared" si="0"/>
        <v>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15539</v>
      </c>
      <c r="D23" s="181">
        <f t="shared" si="0"/>
        <v>0.1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8291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225900</v>
      </c>
      <c r="D25" s="181">
        <f t="shared" si="0"/>
        <v>1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317283.8</v>
      </c>
      <c r="D27" s="181">
        <f t="shared" si="0"/>
        <v>1.3</v>
      </c>
    </row>
    <row r="28" spans="1:4" x14ac:dyDescent="0.2">
      <c r="B28" s="186" t="s">
        <v>723</v>
      </c>
      <c r="C28" s="179">
        <f>SUM(C10:C27)</f>
        <v>23657104.800000001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5150</v>
      </c>
    </row>
    <row r="30" spans="1:4" x14ac:dyDescent="0.2">
      <c r="B30" s="186" t="s">
        <v>729</v>
      </c>
      <c r="C30" s="179">
        <f>SUM(C28:C29)</f>
        <v>23662254.800000001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675000</v>
      </c>
    </row>
    <row r="34" spans="1:4" x14ac:dyDescent="0.2">
      <c r="A34" s="186" t="s">
        <v>94</v>
      </c>
      <c r="B34" s="187" t="s">
        <v>910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15143120</v>
      </c>
      <c r="D35" s="181">
        <f t="shared" ref="D35:D40" si="1">ROUND((C35/$C$41)*100,1)</f>
        <v>59.7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737984.48999999836</v>
      </c>
      <c r="D36" s="181">
        <f t="shared" si="1"/>
        <v>2.9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7403332</v>
      </c>
      <c r="D37" s="181">
        <f t="shared" si="1"/>
        <v>29.2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636661</v>
      </c>
      <c r="D38" s="181">
        <f t="shared" si="1"/>
        <v>2.5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1452820</v>
      </c>
      <c r="D39" s="181">
        <f t="shared" si="1"/>
        <v>5.7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25373917.489999998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2"/>
      <c r="K1" s="212"/>
      <c r="L1" s="212"/>
      <c r="M1" s="213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Jaffrey-Rindge Cooperative School District (SAU47)</v>
      </c>
      <c r="G2" s="294"/>
      <c r="H2" s="294"/>
      <c r="I2" s="294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74">
        <v>3</v>
      </c>
      <c r="B4" s="275">
        <v>23</v>
      </c>
      <c r="C4" s="287" t="s">
        <v>918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0"/>
      <c r="O29" s="210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6"/>
      <c r="AB29" s="206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6"/>
      <c r="AO29" s="206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6"/>
      <c r="BB29" s="206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6"/>
      <c r="BO29" s="206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6"/>
      <c r="CB29" s="206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6"/>
      <c r="CO29" s="206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6"/>
      <c r="DB29" s="206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6"/>
      <c r="DO29" s="206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6"/>
      <c r="EB29" s="206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6"/>
      <c r="EO29" s="206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6"/>
      <c r="FB29" s="206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6"/>
      <c r="FO29" s="206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6"/>
      <c r="GB29" s="206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6"/>
      <c r="GO29" s="206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6"/>
      <c r="HB29" s="206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6"/>
      <c r="HO29" s="206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6"/>
      <c r="IB29" s="206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6"/>
      <c r="IO29" s="206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7"/>
      <c r="B30" s="218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0"/>
      <c r="O30" s="210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6"/>
      <c r="AB30" s="206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6"/>
      <c r="AO30" s="206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6"/>
      <c r="BB30" s="206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6"/>
      <c r="BO30" s="206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6"/>
      <c r="CB30" s="206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6"/>
      <c r="CO30" s="206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6"/>
      <c r="DB30" s="206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6"/>
      <c r="DO30" s="206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6"/>
      <c r="EB30" s="206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6"/>
      <c r="EO30" s="206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6"/>
      <c r="FB30" s="206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6"/>
      <c r="FO30" s="206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6"/>
      <c r="GB30" s="206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6"/>
      <c r="GO30" s="206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6"/>
      <c r="HB30" s="206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6"/>
      <c r="HO30" s="206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6"/>
      <c r="IB30" s="206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6"/>
      <c r="IO30" s="206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7"/>
      <c r="B31" s="218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0"/>
      <c r="O31" s="210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6"/>
      <c r="AB31" s="206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6"/>
      <c r="AO31" s="206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6"/>
      <c r="BB31" s="206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6"/>
      <c r="BO31" s="206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6"/>
      <c r="CB31" s="206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6"/>
      <c r="CO31" s="206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6"/>
      <c r="DB31" s="206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6"/>
      <c r="DO31" s="206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6"/>
      <c r="EB31" s="206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6"/>
      <c r="EO31" s="206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6"/>
      <c r="FB31" s="206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6"/>
      <c r="FO31" s="206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6"/>
      <c r="GB31" s="206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6"/>
      <c r="GO31" s="206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6"/>
      <c r="HB31" s="206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6"/>
      <c r="HO31" s="206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6"/>
      <c r="IB31" s="206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6"/>
      <c r="IO31" s="206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7"/>
      <c r="B32" s="218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2"/>
      <c r="O32" s="222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7"/>
      <c r="AB32" s="218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7"/>
      <c r="AO32" s="218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7"/>
      <c r="BB32" s="218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7"/>
      <c r="BO32" s="218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7"/>
      <c r="CB32" s="218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7"/>
      <c r="CO32" s="218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7"/>
      <c r="DB32" s="218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7"/>
      <c r="DO32" s="218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7"/>
      <c r="EB32" s="218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7"/>
      <c r="EO32" s="218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7"/>
      <c r="FB32" s="218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7"/>
      <c r="FO32" s="218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7"/>
      <c r="GB32" s="218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7"/>
      <c r="GO32" s="218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7"/>
      <c r="HB32" s="218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7"/>
      <c r="HO32" s="218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7"/>
      <c r="IB32" s="218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7"/>
      <c r="IO32" s="218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7"/>
      <c r="B33" s="218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0"/>
      <c r="O38" s="210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6"/>
      <c r="AB38" s="206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6"/>
      <c r="AO38" s="206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6"/>
      <c r="BB38" s="206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6"/>
      <c r="BO38" s="206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6"/>
      <c r="CB38" s="206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6"/>
      <c r="CO38" s="206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6"/>
      <c r="DB38" s="206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6"/>
      <c r="DO38" s="206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6"/>
      <c r="EB38" s="206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6"/>
      <c r="EO38" s="206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6"/>
      <c r="FB38" s="206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6"/>
      <c r="FO38" s="206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6"/>
      <c r="GB38" s="206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6"/>
      <c r="GO38" s="206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6"/>
      <c r="HB38" s="206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6"/>
      <c r="HO38" s="206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6"/>
      <c r="IB38" s="206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6"/>
      <c r="IO38" s="206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7"/>
      <c r="B39" s="218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0"/>
      <c r="O39" s="210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6"/>
      <c r="AB39" s="206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6"/>
      <c r="AO39" s="206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6"/>
      <c r="BB39" s="206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6"/>
      <c r="BO39" s="206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6"/>
      <c r="CB39" s="206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6"/>
      <c r="CO39" s="206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6"/>
      <c r="DB39" s="206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6"/>
      <c r="DO39" s="206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6"/>
      <c r="EB39" s="206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6"/>
      <c r="EO39" s="206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6"/>
      <c r="FB39" s="206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6"/>
      <c r="FO39" s="206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6"/>
      <c r="GB39" s="206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6"/>
      <c r="GO39" s="206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6"/>
      <c r="HB39" s="206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6"/>
      <c r="HO39" s="206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6"/>
      <c r="IB39" s="206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6"/>
      <c r="IO39" s="206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7"/>
      <c r="B40" s="218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0"/>
      <c r="O40" s="210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6"/>
      <c r="AB40" s="206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6"/>
      <c r="AO40" s="206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6"/>
      <c r="BB40" s="206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6"/>
      <c r="BO40" s="206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6"/>
      <c r="CB40" s="206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6"/>
      <c r="CO40" s="206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6"/>
      <c r="DB40" s="206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6"/>
      <c r="DO40" s="206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6"/>
      <c r="EB40" s="206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6"/>
      <c r="EO40" s="206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6"/>
      <c r="FB40" s="206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6"/>
      <c r="FO40" s="206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6"/>
      <c r="GB40" s="206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6"/>
      <c r="GO40" s="206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6"/>
      <c r="HB40" s="206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6"/>
      <c r="HO40" s="206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6"/>
      <c r="IB40" s="206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6"/>
      <c r="IO40" s="206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7"/>
      <c r="B41" s="218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7"/>
      <c r="B60" s="218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7"/>
      <c r="B61" s="218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7"/>
      <c r="B62" s="218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7"/>
      <c r="B63" s="218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7"/>
      <c r="B64" s="218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7"/>
      <c r="B65" s="218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7"/>
      <c r="B66" s="218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7"/>
      <c r="B67" s="218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7"/>
      <c r="B68" s="218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7"/>
      <c r="B69" s="218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19"/>
      <c r="B70" s="22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0"/>
      <c r="B74" s="210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0"/>
      <c r="B75" s="210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0"/>
      <c r="B76" s="210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0"/>
      <c r="B77" s="210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0"/>
      <c r="B78" s="210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0"/>
      <c r="B79" s="210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0"/>
      <c r="B80" s="210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0"/>
      <c r="B81" s="210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0"/>
      <c r="B82" s="210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0"/>
      <c r="B83" s="210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0"/>
      <c r="B84" s="210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0"/>
      <c r="B85" s="210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0"/>
      <c r="B86" s="210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0"/>
      <c r="B87" s="210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0"/>
      <c r="B88" s="210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0"/>
      <c r="B89" s="210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0"/>
      <c r="B90" s="210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2015-09-10T22:54:43Z</cp:lastPrinted>
  <dcterms:created xsi:type="dcterms:W3CDTF">1997-12-04T19:04:30Z</dcterms:created>
  <dcterms:modified xsi:type="dcterms:W3CDTF">2015-11-25T18:34:58Z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