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25" i="1" l="1"/>
  <c r="H225" i="1"/>
  <c r="F226" i="1"/>
  <c r="H243" i="1"/>
  <c r="F243" i="1"/>
  <c r="G9" i="1" l="1"/>
  <c r="H22" i="1"/>
  <c r="H12" i="1"/>
  <c r="F9" i="1"/>
  <c r="G613" i="1" l="1"/>
  <c r="F613" i="1"/>
  <c r="G612" i="1"/>
  <c r="F612" i="1"/>
  <c r="H611" i="1"/>
  <c r="G611" i="1"/>
  <c r="F611" i="1"/>
  <c r="J604" i="1"/>
  <c r="I604" i="1"/>
  <c r="H604" i="1"/>
  <c r="J595" i="1"/>
  <c r="J592" i="1"/>
  <c r="G568" i="1"/>
  <c r="I562" i="1"/>
  <c r="G562" i="1"/>
  <c r="K531" i="1"/>
  <c r="K526" i="1"/>
  <c r="I528" i="1"/>
  <c r="I527" i="1"/>
  <c r="I526" i="1"/>
  <c r="H543" i="1"/>
  <c r="H528" i="1"/>
  <c r="H527" i="1"/>
  <c r="H526" i="1"/>
  <c r="H531" i="1"/>
  <c r="H521" i="1"/>
  <c r="G528" i="1"/>
  <c r="G527" i="1"/>
  <c r="G526" i="1"/>
  <c r="F528" i="1"/>
  <c r="F527" i="1"/>
  <c r="F526" i="1"/>
  <c r="I502" i="1"/>
  <c r="I501" i="1"/>
  <c r="H502" i="1"/>
  <c r="H501" i="1"/>
  <c r="G502" i="1"/>
  <c r="I497" i="1"/>
  <c r="H497" i="1"/>
  <c r="H469" i="1"/>
  <c r="H472" i="1"/>
  <c r="J468" i="1"/>
  <c r="H468" i="1"/>
  <c r="J96" i="1"/>
  <c r="H396" i="1"/>
  <c r="G439" i="1"/>
  <c r="H367" i="1"/>
  <c r="G367" i="1"/>
  <c r="F368" i="1"/>
  <c r="H286" i="1"/>
  <c r="H325" i="1"/>
  <c r="K323" i="1"/>
  <c r="I320" i="1"/>
  <c r="H320" i="1"/>
  <c r="G320" i="1"/>
  <c r="F320" i="1"/>
  <c r="K319" i="1"/>
  <c r="H319" i="1"/>
  <c r="G319" i="1"/>
  <c r="F319" i="1"/>
  <c r="J314" i="1"/>
  <c r="I314" i="1"/>
  <c r="H314" i="1"/>
  <c r="H301" i="1"/>
  <c r="K298" i="1"/>
  <c r="H287" i="1"/>
  <c r="G286" i="1"/>
  <c r="F286" i="1"/>
  <c r="K285" i="1"/>
  <c r="H283" i="1"/>
  <c r="G283" i="1"/>
  <c r="F283" i="1"/>
  <c r="I282" i="1"/>
  <c r="H282" i="1"/>
  <c r="G282" i="1"/>
  <c r="F282" i="1"/>
  <c r="K281" i="1"/>
  <c r="H281" i="1"/>
  <c r="G281" i="1"/>
  <c r="F281" i="1"/>
  <c r="K279" i="1"/>
  <c r="H279" i="1"/>
  <c r="J276" i="1"/>
  <c r="I276" i="1"/>
  <c r="H276" i="1"/>
  <c r="K320" i="1"/>
  <c r="K316" i="1"/>
  <c r="J320" i="1"/>
  <c r="J316" i="1"/>
  <c r="I319" i="1"/>
  <c r="I317" i="1"/>
  <c r="I316" i="1"/>
  <c r="I315" i="1"/>
  <c r="H316" i="1"/>
  <c r="G317" i="1"/>
  <c r="G316" i="1"/>
  <c r="G315" i="1"/>
  <c r="F317" i="1"/>
  <c r="F316" i="1"/>
  <c r="F315" i="1"/>
  <c r="I307" i="1"/>
  <c r="I296" i="1"/>
  <c r="K287" i="1"/>
  <c r="I281" i="1"/>
  <c r="I279" i="1"/>
  <c r="I277" i="1"/>
  <c r="G288" i="1"/>
  <c r="G279" i="1"/>
  <c r="G277" i="1"/>
  <c r="G276" i="1"/>
  <c r="F288" i="1"/>
  <c r="F279" i="1"/>
  <c r="F277" i="1"/>
  <c r="F276" i="1"/>
  <c r="K240" i="1"/>
  <c r="K239" i="1"/>
  <c r="K238" i="1"/>
  <c r="J243" i="1"/>
  <c r="I245" i="1"/>
  <c r="I243" i="1"/>
  <c r="I241" i="1"/>
  <c r="I240" i="1"/>
  <c r="I239" i="1"/>
  <c r="I238" i="1"/>
  <c r="I236" i="1"/>
  <c r="H240" i="1"/>
  <c r="H245" i="1"/>
  <c r="H244" i="1"/>
  <c r="H241" i="1"/>
  <c r="H239" i="1"/>
  <c r="H238" i="1"/>
  <c r="H236" i="1"/>
  <c r="G245" i="1"/>
  <c r="G243" i="1"/>
  <c r="G240" i="1"/>
  <c r="G239" i="1"/>
  <c r="G238" i="1"/>
  <c r="G236" i="1"/>
  <c r="F245" i="1"/>
  <c r="F240" i="1"/>
  <c r="F239" i="1"/>
  <c r="F238" i="1"/>
  <c r="F236" i="1"/>
  <c r="K222" i="1"/>
  <c r="K221" i="1"/>
  <c r="K220" i="1"/>
  <c r="K218" i="1"/>
  <c r="I227" i="1"/>
  <c r="I222" i="1"/>
  <c r="I221" i="1"/>
  <c r="I220" i="1"/>
  <c r="I218" i="1"/>
  <c r="H227" i="1"/>
  <c r="H226" i="1"/>
  <c r="H223" i="1"/>
  <c r="H222" i="1"/>
  <c r="H221" i="1"/>
  <c r="H220" i="1"/>
  <c r="H218" i="1"/>
  <c r="G227" i="1"/>
  <c r="G225" i="1"/>
  <c r="G222" i="1"/>
  <c r="G221" i="1"/>
  <c r="G220" i="1"/>
  <c r="G218" i="1"/>
  <c r="G216" i="1"/>
  <c r="F227" i="1"/>
  <c r="F222" i="1"/>
  <c r="F221" i="1"/>
  <c r="F220" i="1"/>
  <c r="F218" i="1"/>
  <c r="F216" i="1"/>
  <c r="K204" i="1"/>
  <c r="J198" i="1"/>
  <c r="I209" i="1"/>
  <c r="I207" i="1"/>
  <c r="I204" i="1"/>
  <c r="I203" i="1"/>
  <c r="I202" i="1"/>
  <c r="I198" i="1"/>
  <c r="H207" i="1"/>
  <c r="H209" i="1"/>
  <c r="H208" i="1"/>
  <c r="H204" i="1"/>
  <c r="H203" i="1"/>
  <c r="H202" i="1"/>
  <c r="H198" i="1"/>
  <c r="H197" i="1"/>
  <c r="G209" i="1"/>
  <c r="G204" i="1"/>
  <c r="G203" i="1"/>
  <c r="G202" i="1"/>
  <c r="G200" i="1"/>
  <c r="G198" i="1"/>
  <c r="F202" i="1"/>
  <c r="F209" i="1"/>
  <c r="F207" i="1"/>
  <c r="F204" i="1"/>
  <c r="F203" i="1"/>
  <c r="F200" i="1"/>
  <c r="F198" i="1"/>
  <c r="G97" i="1"/>
  <c r="F110" i="1"/>
  <c r="H36" i="1" l="1"/>
  <c r="H43" i="1"/>
  <c r="H24" i="1"/>
  <c r="H17" i="1"/>
  <c r="H14" i="1"/>
  <c r="H13" i="1"/>
  <c r="H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C124" i="2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C12" i="10" s="1"/>
  <c r="L317" i="1"/>
  <c r="E112" i="2" s="1"/>
  <c r="L319" i="1"/>
  <c r="L320" i="1"/>
  <c r="L321" i="1"/>
  <c r="L322" i="1"/>
  <c r="L323" i="1"/>
  <c r="E122" i="2" s="1"/>
  <c r="L324" i="1"/>
  <c r="L325" i="1"/>
  <c r="E124" i="2" s="1"/>
  <c r="L326" i="1"/>
  <c r="L333" i="1"/>
  <c r="L334" i="1"/>
  <c r="L335" i="1"/>
  <c r="L260" i="1"/>
  <c r="C32" i="10" s="1"/>
  <c r="L261" i="1"/>
  <c r="C132" i="2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C25" i="10"/>
  <c r="L268" i="1"/>
  <c r="L269" i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E114" i="2"/>
  <c r="D115" i="2"/>
  <c r="F115" i="2"/>
  <c r="G115" i="2"/>
  <c r="E121" i="2"/>
  <c r="E123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56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J470" i="1"/>
  <c r="F474" i="1"/>
  <c r="F476" i="1" s="1"/>
  <c r="H622" i="1" s="1"/>
  <c r="G474" i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I545" i="1" s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H571" i="1" s="1"/>
  <c r="I565" i="1"/>
  <c r="J565" i="1"/>
  <c r="J571" i="1" s="1"/>
  <c r="K565" i="1"/>
  <c r="L567" i="1"/>
  <c r="L568" i="1"/>
  <c r="L570" i="1" s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H640" i="1"/>
  <c r="G641" i="1"/>
  <c r="H641" i="1"/>
  <c r="G642" i="1"/>
  <c r="G643" i="1"/>
  <c r="H643" i="1"/>
  <c r="G644" i="1"/>
  <c r="H644" i="1"/>
  <c r="J644" i="1" s="1"/>
  <c r="G645" i="1"/>
  <c r="J645" i="1" s="1"/>
  <c r="H645" i="1"/>
  <c r="G650" i="1"/>
  <c r="G651" i="1"/>
  <c r="G652" i="1"/>
  <c r="H652" i="1"/>
  <c r="G653" i="1"/>
  <c r="H653" i="1"/>
  <c r="G654" i="1"/>
  <c r="H654" i="1"/>
  <c r="H655" i="1"/>
  <c r="C26" i="10"/>
  <c r="L351" i="1"/>
  <c r="D62" i="2"/>
  <c r="D63" i="2" s="1"/>
  <c r="D18" i="13"/>
  <c r="C18" i="13" s="1"/>
  <c r="D17" i="13"/>
  <c r="C17" i="13" s="1"/>
  <c r="C91" i="2"/>
  <c r="F78" i="2"/>
  <c r="F81" i="2" s="1"/>
  <c r="D50" i="2"/>
  <c r="G157" i="2"/>
  <c r="F18" i="2"/>
  <c r="E103" i="2"/>
  <c r="E31" i="2"/>
  <c r="G62" i="2"/>
  <c r="D19" i="13"/>
  <c r="C19" i="13" s="1"/>
  <c r="E78" i="2"/>
  <c r="E81" i="2" s="1"/>
  <c r="J641" i="1"/>
  <c r="J639" i="1"/>
  <c r="K571" i="1"/>
  <c r="L433" i="1"/>
  <c r="L419" i="1"/>
  <c r="D81" i="2"/>
  <c r="I169" i="1"/>
  <c r="J643" i="1"/>
  <c r="F169" i="1"/>
  <c r="J140" i="1"/>
  <c r="I552" i="1"/>
  <c r="G22" i="2"/>
  <c r="K545" i="1"/>
  <c r="H140" i="1"/>
  <c r="L401" i="1"/>
  <c r="C139" i="2" s="1"/>
  <c r="L393" i="1"/>
  <c r="F22" i="13"/>
  <c r="C22" i="13" s="1"/>
  <c r="H25" i="13"/>
  <c r="C25" i="13" s="1"/>
  <c r="L560" i="1"/>
  <c r="G192" i="1"/>
  <c r="H192" i="1"/>
  <c r="C35" i="10"/>
  <c r="L309" i="1"/>
  <c r="I571" i="1"/>
  <c r="G36" i="2"/>
  <c r="L565" i="1"/>
  <c r="C138" i="2"/>
  <c r="F192" i="1" l="1"/>
  <c r="A40" i="12"/>
  <c r="A13" i="12"/>
  <c r="L614" i="1"/>
  <c r="K605" i="1"/>
  <c r="G648" i="1" s="1"/>
  <c r="J651" i="1"/>
  <c r="K598" i="1"/>
  <c r="G647" i="1" s="1"/>
  <c r="H545" i="1"/>
  <c r="K551" i="1"/>
  <c r="G545" i="1"/>
  <c r="H552" i="1"/>
  <c r="G552" i="1"/>
  <c r="K550" i="1"/>
  <c r="K549" i="1"/>
  <c r="L534" i="1"/>
  <c r="F552" i="1"/>
  <c r="L524" i="1"/>
  <c r="K503" i="1"/>
  <c r="G161" i="2"/>
  <c r="K500" i="1"/>
  <c r="J476" i="1"/>
  <c r="H626" i="1" s="1"/>
  <c r="G476" i="1"/>
  <c r="H623" i="1" s="1"/>
  <c r="J623" i="1" s="1"/>
  <c r="H476" i="1"/>
  <c r="H624" i="1" s="1"/>
  <c r="J624" i="1" s="1"/>
  <c r="J655" i="1"/>
  <c r="J640" i="1"/>
  <c r="C29" i="10"/>
  <c r="L382" i="1"/>
  <c r="G636" i="1" s="1"/>
  <c r="J636" i="1" s="1"/>
  <c r="J634" i="1"/>
  <c r="F661" i="1"/>
  <c r="G661" i="1"/>
  <c r="L362" i="1"/>
  <c r="C27" i="10" s="1"/>
  <c r="D127" i="2"/>
  <c r="D128" i="2" s="1"/>
  <c r="D145" i="2" s="1"/>
  <c r="H661" i="1"/>
  <c r="D29" i="13"/>
  <c r="C29" i="13" s="1"/>
  <c r="G662" i="1"/>
  <c r="E120" i="2"/>
  <c r="K338" i="1"/>
  <c r="K352" i="1" s="1"/>
  <c r="J338" i="1"/>
  <c r="J352" i="1" s="1"/>
  <c r="E109" i="2"/>
  <c r="H662" i="1"/>
  <c r="C21" i="10"/>
  <c r="L328" i="1"/>
  <c r="E111" i="2"/>
  <c r="E115" i="2" s="1"/>
  <c r="G338" i="1"/>
  <c r="G352" i="1" s="1"/>
  <c r="E118" i="2"/>
  <c r="F338" i="1"/>
  <c r="F352" i="1" s="1"/>
  <c r="E119" i="2"/>
  <c r="C11" i="10"/>
  <c r="H338" i="1"/>
  <c r="H352" i="1" s="1"/>
  <c r="L290" i="1"/>
  <c r="H33" i="13"/>
  <c r="C19" i="10"/>
  <c r="C125" i="2"/>
  <c r="C118" i="2"/>
  <c r="C112" i="2"/>
  <c r="L247" i="1"/>
  <c r="K257" i="1"/>
  <c r="K271" i="1" s="1"/>
  <c r="J257" i="1"/>
  <c r="J271" i="1" s="1"/>
  <c r="I257" i="1"/>
  <c r="I271" i="1" s="1"/>
  <c r="H257" i="1"/>
  <c r="H271" i="1" s="1"/>
  <c r="E16" i="13"/>
  <c r="C16" i="13" s="1"/>
  <c r="G257" i="1"/>
  <c r="G271" i="1" s="1"/>
  <c r="C20" i="10"/>
  <c r="C18" i="10"/>
  <c r="C120" i="2"/>
  <c r="C16" i="10"/>
  <c r="C13" i="10"/>
  <c r="C110" i="2"/>
  <c r="L229" i="1"/>
  <c r="G660" i="1" s="1"/>
  <c r="F257" i="1"/>
  <c r="F271" i="1" s="1"/>
  <c r="C10" i="10"/>
  <c r="C122" i="2"/>
  <c r="D7" i="13"/>
  <c r="C7" i="13" s="1"/>
  <c r="D15" i="13"/>
  <c r="C15" i="13" s="1"/>
  <c r="G649" i="1"/>
  <c r="J649" i="1" s="1"/>
  <c r="H647" i="1"/>
  <c r="F662" i="1"/>
  <c r="E13" i="13"/>
  <c r="C13" i="13" s="1"/>
  <c r="C119" i="2"/>
  <c r="D5" i="13"/>
  <c r="C5" i="13" s="1"/>
  <c r="C17" i="10"/>
  <c r="C123" i="2"/>
  <c r="C121" i="2"/>
  <c r="D12" i="13"/>
  <c r="C12" i="13" s="1"/>
  <c r="E8" i="13"/>
  <c r="C8" i="13" s="1"/>
  <c r="C109" i="2"/>
  <c r="D14" i="13"/>
  <c r="C14" i="13" s="1"/>
  <c r="L211" i="1"/>
  <c r="C15" i="10"/>
  <c r="D6" i="13"/>
  <c r="C6" i="13" s="1"/>
  <c r="H112" i="1"/>
  <c r="H193" i="1" s="1"/>
  <c r="G629" i="1" s="1"/>
  <c r="J629" i="1" s="1"/>
  <c r="E62" i="2"/>
  <c r="E63" i="2" s="1"/>
  <c r="C81" i="2"/>
  <c r="F112" i="1"/>
  <c r="C62" i="2"/>
  <c r="C63" i="2" s="1"/>
  <c r="G625" i="1"/>
  <c r="J625" i="1" s="1"/>
  <c r="H52" i="1"/>
  <c r="H619" i="1" s="1"/>
  <c r="J619" i="1" s="1"/>
  <c r="J62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G635" i="1"/>
  <c r="J635" i="1" s="1"/>
  <c r="I662" i="1" l="1"/>
  <c r="J647" i="1"/>
  <c r="K552" i="1"/>
  <c r="L545" i="1"/>
  <c r="H646" i="1"/>
  <c r="I661" i="1"/>
  <c r="G664" i="1"/>
  <c r="G672" i="1" s="1"/>
  <c r="C5" i="10" s="1"/>
  <c r="E128" i="2"/>
  <c r="E145" i="2" s="1"/>
  <c r="H660" i="1"/>
  <c r="H664" i="1" s="1"/>
  <c r="H667" i="1" s="1"/>
  <c r="L338" i="1"/>
  <c r="L352" i="1" s="1"/>
  <c r="G633" i="1" s="1"/>
  <c r="J633" i="1" s="1"/>
  <c r="D31" i="13"/>
  <c r="C31" i="13" s="1"/>
  <c r="H648" i="1"/>
  <c r="J648" i="1" s="1"/>
  <c r="L257" i="1"/>
  <c r="L271" i="1" s="1"/>
  <c r="G632" i="1" s="1"/>
  <c r="J632" i="1" s="1"/>
  <c r="C115" i="2"/>
  <c r="C28" i="10"/>
  <c r="D24" i="10" s="1"/>
  <c r="C128" i="2"/>
  <c r="E33" i="13"/>
  <c r="D35" i="13" s="1"/>
  <c r="F660" i="1"/>
  <c r="F664" i="1" s="1"/>
  <c r="C36" i="10"/>
  <c r="E104" i="2"/>
  <c r="C104" i="2"/>
  <c r="F193" i="1"/>
  <c r="G627" i="1" s="1"/>
  <c r="J627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G667" i="1" l="1"/>
  <c r="H672" i="1"/>
  <c r="C6" i="10" s="1"/>
  <c r="D33" i="13"/>
  <c r="D36" i="13" s="1"/>
  <c r="D23" i="10"/>
  <c r="D20" i="10"/>
  <c r="D15" i="10"/>
  <c r="D21" i="10"/>
  <c r="D13" i="10"/>
  <c r="D11" i="10"/>
  <c r="D16" i="10"/>
  <c r="D27" i="10"/>
  <c r="D18" i="10"/>
  <c r="C30" i="10"/>
  <c r="D19" i="10"/>
  <c r="D10" i="10"/>
  <c r="D26" i="10"/>
  <c r="D25" i="10"/>
  <c r="D22" i="10"/>
  <c r="C145" i="2"/>
  <c r="D17" i="10"/>
  <c r="D12" i="10"/>
  <c r="I660" i="1"/>
  <c r="I664" i="1" s="1"/>
  <c r="I672" i="1" s="1"/>
  <c r="C7" i="10" s="1"/>
  <c r="F672" i="1"/>
  <c r="C4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<sst xmlns="http://schemas.openxmlformats.org/spreadsheetml/2006/main" count="3962" uniqueCount="919">
  <si>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</si>
  <si>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</si>
  <si>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</si>
  <si>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</si>
  <si>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</si>
  <si>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</si>
  <si>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</si>
  <si>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</si>
  <si>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</si>
  <si>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</si>
  <si>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</si>
  <si>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</si>
  <si>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</si>
  <si>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</si>
  <si>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</si>
  <si>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</si>
  <si>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</si>
  <si>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</si>
  <si>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</si>
  <si>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</si>
  <si>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</si>
  <si>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</si>
  <si>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</si>
  <si>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</si>
  <si>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</si>
  <si>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</si>
  <si>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</si>
  <si>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</si>
  <si>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</si>
  <si>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</si>
  <si>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</si>
  <si>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</si>
  <si>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</si>
  <si>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</si>
  <si>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</si>
  <si>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</si>
  <si>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</si>
  <si>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</si>
  <si>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</si>
  <si>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</si>
  <si>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</si>
  <si>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</si>
  <si>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</si>
  <si>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</si>
  <si>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</si>
  <si>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</si>
  <si>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</si>
  <si>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</si>
  <si>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</si>
  <si>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</si>
  <si>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</si>
  <si>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</si>
  <si>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</si>
  <si>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</si>
  <si>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</si>
  <si>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</si>
  <si>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</si>
  <si>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</si>
  <si>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</si>
  <si>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</si>
  <si>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</si>
  <si>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</si>
  <si>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</si>
  <si>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</si>
  <si>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</si>
  <si>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</si>
  <si>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</si>
  <si>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</si>
  <si>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</si>
  <si>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</si>
  <si>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</si>
  <si>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</si>
  <si>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</si>
  <si>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</si>
  <si>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</si>
  <si>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</si>
  <si>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</si>
  <si>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</si>
  <si>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</si>
  <si>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</si>
  <si>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</si>
  <si>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</si>
  <si>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</si>
  <si>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</si>
  <si>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</si>
  <si>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</si>
  <si>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</si>
  <si>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</si>
  <si>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</si>
  <si>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</si>
  <si>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</si>
  <si>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</si>
  <si>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</si>
  <si>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</si>
  <si>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</si>
  <si>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</si>
  <si>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</si>
  <si>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</si>
  <si>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</si>
  <si>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</si>
  <si>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</si>
  <si>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</si>
  <si>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</si>
  <si>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</si>
  <si>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</si>
  <si>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</si>
  <si>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</si>
  <si>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</si>
  <si>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</si>
  <si>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</si>
  <si>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</si>
  <si>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</si>
  <si>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</si>
  <si>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</si>
  <si>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</si>
  <si>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</si>
  <si>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</si>
  <si>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</si>
  <si>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</si>
  <si>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</si>
  <si>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</si>
  <si>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</si>
  <si>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</si>
  <si>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</si>
  <si>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</si>
  <si>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</si>
  <si>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</si>
  <si>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</si>
  <si>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</si>
  <si>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</si>
  <si>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</si>
  <si>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</si>
  <si>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</si>
  <si>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</si>
  <si>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</si>
  <si>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</si>
  <si>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</si>
  <si>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</si>
  <si>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</si>
  <si>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</si>
  <si>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</si>
  <si>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</si>
  <si>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</si>
  <si>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</si>
  <si>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</si>
  <si>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</si>
  <si>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</si>
  <si>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</si>
  <si>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</si>
  <si>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</si>
  <si>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</si>
  <si>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</si>
  <si>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</si>
  <si>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</si>
  <si>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</si>
  <si>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</si>
  <si>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</si>
  <si>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</si>
  <si>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</si>
  <si>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</si>
  <si>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</si>
  <si>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</si>
  <si>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</si>
  <si>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</si>
  <si>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</si>
  <si>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</si>
  <si>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</si>
  <si>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</si>
  <si>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</si>
  <si>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</si>
  <si>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</si>
  <si>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</si>
  <si>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</si>
  <si>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</si>
  <si>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</si>
  <si>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</si>
  <si>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</si>
  <si>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</si>
  <si>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</si>
  <si>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</si>
  <si>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</si>
  <si>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</si>
  <si>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</si>
  <si>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</si>
  <si>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</si>
  <si>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</si>
  <si>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</si>
  <si>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</si>
  <si>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</si>
  <si>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</si>
  <si>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</si>
  <si>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</si>
  <si>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</si>
  <si>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</si>
  <si>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</si>
  <si>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</si>
  <si>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</si>
  <si>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</si>
  <si>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</si>
  <si>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</si>
  <si>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</si>
  <si>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</si>
  <si>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</si>
  <si>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</si>
  <si>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</si>
  <si>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</si>
  <si>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</si>
  <si>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</si>
  <si>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</si>
  <si>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</si>
  <si>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</si>
  <si>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</si>
  <si>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</si>
  <si>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</si>
  <si>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</si>
  <si>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</si>
  <si>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</si>
  <si>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</si>
  <si>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</si>
  <si>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</si>
  <si>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</si>
  <si>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</si>
  <si>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</si>
  <si>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</si>
  <si>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</si>
  <si>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</si>
  <si>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</si>
  <si>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</si>
  <si>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</si>
  <si>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</si>
  <si>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</si>
  <si>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</si>
  <si>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</si>
  <si>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</si>
  <si>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</si>
  <si>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</si>
  <si>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</si>
  <si>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</si>
  <si>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</si>
  <si>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</si>
  <si>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</si>
  <si>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</si>
  <si>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</si>
  <si>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</si>
  <si>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</si>
  <si>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</si>
  <si>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</si>
  <si>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</si>
  <si>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</si>
  <si>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</si>
  <si>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</si>
  <si>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</si>
  <si>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</si>
  <si>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</si>
  <si>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</si>
  <si>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</si>
  <si>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</si>
  <si>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</si>
  <si>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</si>
  <si>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</si>
  <si>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</si>
  <si>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</si>
  <si>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</si>
  <si>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</si>
  <si>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</si>
  <si>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</si>
  <si>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</si>
  <si>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</si>
  <si>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</si>
  <si>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</si>
  <si>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</si>
  <si>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</si>
  <si>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</si>
  <si>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</si>
  <si>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</si>
  <si>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</si>
  <si>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</si>
  <si>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</si>
  <si>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</si>
  <si>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</si>
  <si>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</si>
  <si>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</si>
  <si>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</si>
  <si>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</si>
  <si>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</si>
  <si>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</si>
  <si>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</si>
  <si>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</si>
  <si>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</si>
  <si>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</si>
  <si>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</si>
  <si>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</si>
  <si>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</si>
  <si>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</si>
  <si>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</si>
  <si>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</si>
  <si>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</si>
  <si>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</si>
  <si>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</si>
  <si>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</si>
  <si>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</si>
  <si>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</si>
  <si>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</si>
  <si>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</si>
  <si>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</si>
  <si>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</si>
  <si>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</si>
  <si>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</si>
  <si>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</si>
  <si>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</si>
  <si>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</si>
  <si>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</si>
  <si>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</si>
  <si>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</si>
  <si>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</si>
  <si>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</si>
  <si>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</si>
  <si>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</si>
  <si>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</si>
  <si>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</si>
  <si>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</si>
  <si>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</si>
  <si>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</si>
  <si>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</si>
  <si>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</si>
  <si>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</si>
  <si>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</si>
  <si>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</si>
  <si>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</si>
  <si>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</si>
  <si>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</si>
  <si>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</si>
  <si>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</si>
  <si>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</si>
  <si>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</si>
  <si>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</si>
  <si>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</si>
  <si>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</si>
  <si>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</si>
  <si>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</si>
  <si>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</si>
  <si>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</si>
  <si>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</si>
  <si>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</si>
  <si>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</si>
  <si>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</si>
  <si>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</si>
  <si>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</si>
  <si>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</si>
  <si>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</si>
  <si>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</si>
  <si>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</si>
  <si>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</si>
  <si>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</si>
  <si>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</si>
  <si>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</si>
  <si>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</si>
  <si>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</si>
  <si>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</si>
  <si>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</si>
  <si>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</si>
  <si>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</si>
  <si>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</si>
  <si>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</si>
  <si>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</si>
  <si>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</si>
  <si>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</si>
  <si>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</si>
  <si>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</si>
  <si>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</si>
  <si>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</si>
  <si>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</si>
  <si>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</si>
  <si>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</si>
  <si>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</si>
  <si>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</si>
  <si>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</si>
  <si>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</si>
  <si>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</si>
  <si>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</si>
  <si>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</si>
  <si>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</si>
  <si>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</si>
  <si>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</si>
  <si>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</si>
  <si>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</si>
  <si>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</si>
  <si>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</si>
  <si>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</si>
  <si>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</si>
  <si>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</si>
  <si>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</si>
  <si>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</si>
  <si>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</si>
  <si>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</si>
  <si>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</si>
  <si>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</si>
  <si>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</si>
  <si>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</si>
  <si>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</si>
  <si>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</si>
  <si>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</si>
  <si>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</si>
  <si>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</si>
  <si>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</si>
  <si>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</si>
  <si>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</si>
  <si>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</si>
  <si>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</si>
  <si>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</si>
  <si>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</si>
  <si>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</si>
  <si>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</si>
  <si>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</si>
  <si>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</si>
  <si>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</si>
  <si>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</si>
  <si>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</si>
  <si>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</si>
  <si>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</si>
  <si>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</si>
  <si>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</si>
  <si>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</si>
  <si>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</si>
  <si>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</si>
  <si>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</si>
  <si>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</si>
  <si>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</si>
  <si>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</si>
  <si>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</si>
  <si>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</si>
  <si>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</si>
  <si>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</si>
  <si>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</si>
  <si>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</si>
  <si>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</si>
  <si>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</si>
  <si>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</si>
  <si>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</si>
  <si>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</si>
  <si>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</si>
  <si>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</si>
  <si>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</si>
  <si>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</si>
  <si>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</si>
  <si>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</si>
  <si>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</si>
  <si>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</si>
  <si>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</si>
  <si>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</si>
  <si>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</si>
  <si>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</si>
  <si>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</si>
  <si>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</si>
  <si>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</si>
  <si>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</si>
  <si>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</si>
  <si>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</si>
  <si>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</si>
  <si>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</si>
  <si>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</si>
  <si>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</si>
  <si>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</si>
  <si>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</si>
  <si>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</si>
  <si>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</si>
  <si>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</si>
  <si>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</si>
  <si>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</si>
  <si>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</si>
  <si>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</si>
  <si>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</si>
  <si>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</si>
  <si>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</si>
  <si>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</si>
  <si>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</si>
  <si>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</si>
  <si>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</si>
  <si>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</si>
  <si>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</si>
  <si>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</si>
  <si>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</si>
  <si>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</si>
  <si>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</si>
  <si>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</si>
  <si>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</si>
  <si>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</si>
  <si>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</si>
  <si>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</si>
  <si>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</si>
  <si>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</si>
  <si>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</si>
  <si>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</si>
  <si>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</si>
  <si>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</si>
  <si>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</si>
  <si>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</si>
  <si>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</si>
  <si>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</si>
  <si>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</si>
  <si>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</si>
  <si>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</si>
  <si>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</si>
  <si>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</si>
  <si>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</si>
  <si>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</si>
  <si>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</si>
  <si>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</si>
  <si>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</si>
  <si>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</si>
  <si>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</si>
  <si>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</si>
  <si>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</si>
  <si>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</si>
  <si>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</si>
  <si>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</si>
  <si>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</si>
  <si>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</si>
  <si>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</si>
  <si>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</si>
  <si>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</si>
  <si>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</si>
  <si>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</si>
  <si>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</si>
  <si>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</si>
  <si>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</si>
  <si>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</si>
  <si>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</si>
  <si>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</si>
  <si>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</si>
  <si>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</si>
  <si>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</si>
  <si>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</si>
  <si>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</si>
  <si>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</si>
  <si>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</si>
  <si>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</si>
  <si>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</si>
  <si>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</si>
  <si>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</si>
  <si>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</si>
  <si>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</si>
  <si>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</si>
  <si>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</si>
  <si>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</si>
  <si>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</si>
  <si>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</si>
  <si>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</si>
  <si>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</si>
  <si>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</si>
  <si>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</si>
  <si>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</si>
  <si>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</si>
  <si>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</si>
  <si>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</si>
  <si>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</si>
  <si>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</si>
  <si>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</si>
  <si>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</si>
  <si>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</si>
  <si>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</si>
  <si>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</si>
  <si>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</si>
  <si>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</si>
  <si>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</si>
  <si>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</si>
  <si>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</si>
  <si>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</si>
  <si>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</si>
  <si>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</si>
  <si>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</si>
  <si>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</si>
  <si>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</si>
  <si>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</si>
  <si>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</si>
  <si>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</si>
  <si>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</si>
  <si>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</si>
  <si>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</si>
  <si>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</si>
  <si>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</si>
  <si>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</si>
  <si>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</si>
  <si>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</si>
  <si>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</si>
  <si>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</si>
  <si>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</si>
  <si>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</si>
  <si>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</si>
  <si>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</si>
  <si>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</si>
  <si>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</si>
  <si>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</si>
  <si>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</si>
  <si>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</si>
  <si>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</si>
  <si>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</si>
  <si>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</si>
  <si>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</si>
  <si>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</si>
  <si>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</si>
  <si>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</si>
  <si>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</si>
  <si>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</si>
  <si>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</si>
  <si>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</si>
  <si>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</si>
  <si>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</si>
  <si>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</si>
  <si>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</si>
  <si>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</si>
  <si>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</si>
  <si>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</si>
  <si>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</si>
  <si>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</si>
  <si>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</si>
  <si>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</si>
  <si>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</si>
  <si>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</si>
  <si>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</si>
  <si>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</si>
  <si>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</si>
  <si>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</si>
  <si>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</si>
  <si>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</si>
  <si>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</si>
  <si>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</si>
  <si>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</si>
  <si>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</si>
  <si>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</si>
  <si>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</si>
  <si>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</si>
  <si>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</si>
  <si>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</si>
  <si>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</si>
  <si>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</si>
  <si>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</si>
  <si>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</si>
  <si>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</si>
  <si>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</si>
  <si>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</si>
  <si>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</si>
  <si>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</si>
  <si>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</si>
  <si>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</si>
  <si>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</si>
  <si>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</si>
  <si>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</si>
  <si>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</si>
  <si>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</si>
  <si>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</si>
  <si>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</si>
  <si>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</si>
  <si>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</si>
  <si>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</si>
  <si>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</si>
  <si>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</si>
  <si>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</si>
  <si>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</si>
  <si>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</si>
  <si>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</si>
  <si>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</si>
  <si>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</si>
  <si>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</si>
  <si>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</si>
  <si>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</si>
  <si>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</si>
  <si>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</si>
  <si>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</si>
  <si>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</si>
  <si>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</si>
  <si>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</si>
  <si>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</si>
  <si>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</si>
  <si>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</si>
  <si>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</si>
  <si>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</si>
  <si>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</si>
  <si>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</si>
  <si>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</si>
  <si>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</si>
  <si>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</si>
  <si>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</si>
  <si>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</si>
  <si>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</si>
  <si>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</si>
  <si>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</si>
  <si>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</si>
  <si>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</si>
  <si>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</si>
  <si>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</si>
  <si>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</si>
  <si>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</si>
  <si>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</si>
  <si>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</si>
  <si>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</si>
  <si>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</si>
  <si>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</si>
  <si>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</si>
  <si>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</si>
  <si>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</si>
  <si>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</si>
  <si>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</si>
  <si>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</si>
  <si>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</si>
  <si>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</si>
  <si>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</si>
  <si>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</si>
  <si>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</si>
  <si>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</si>
  <si>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</si>
  <si>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</si>
  <si>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</si>
  <si>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</si>
  <si>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</si>
  <si>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</si>
  <si>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</si>
  <si>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</si>
  <si>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</si>
  <si>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</si>
  <si>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</si>
  <si>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</si>
  <si>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</si>
  <si>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</si>
  <si>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</si>
  <si>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</si>
  <si>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</si>
  <si>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</si>
  <si>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</si>
  <si>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</si>
  <si>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</si>
  <si>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</si>
  <si>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</si>
  <si>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</si>
  <si>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</si>
  <si>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</si>
  <si>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</si>
  <si>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</si>
  <si>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</si>
  <si>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</si>
  <si>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</si>
  <si>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</si>
  <si>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</si>
  <si>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</si>
  <si>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</si>
  <si>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</si>
  <si>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</si>
  <si>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</si>
  <si>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</si>
  <si>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</si>
  <si>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</si>
  <si>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</si>
  <si>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</si>
  <si>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</si>
  <si>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</si>
  <si>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</si>
  <si>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</si>
  <si>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</si>
  <si>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</si>
  <si>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</si>
  <si>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</si>
  <si>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</si>
  <si>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</si>
  <si>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</si>
  <si>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</si>
  <si>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</si>
  <si>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</si>
  <si>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</si>
  <si>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</si>
  <si>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</si>
  <si>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</si>
  <si>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</si>
  <si>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</si>
  <si>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</si>
  <si>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</si>
  <si>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</si>
  <si>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</si>
  <si>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</si>
  <si>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</si>
  <si>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</si>
  <si>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</si>
  <si>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</si>
  <si>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</si>
  <si>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</si>
  <si>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</si>
  <si>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</si>
  <si>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</si>
  <si>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</si>
  <si>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</si>
  <si>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</si>
  <si>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</si>
  <si>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</si>
  <si>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</si>
  <si>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</si>
  <si>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</si>
  <si>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</si>
  <si>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</si>
  <si>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</si>
  <si>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</si>
  <si>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</si>
  <si>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</si>
  <si>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</si>
  <si>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</si>
  <si>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</si>
  <si>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</si>
  <si>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</si>
  <si>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</si>
  <si>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</si>
  <si>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</si>
  <si>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</si>
  <si>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</si>
  <si>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</si>
  <si>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</si>
  <si>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</si>
  <si>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</si>
  <si>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</si>
  <si>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</si>
  <si>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</si>
  <si>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</si>
  <si>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</si>
  <si>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</si>
  <si>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</si>
  <si>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</si>
  <si>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</si>
  <si>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</si>
  <si>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</si>
  <si>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</si>
  <si>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</si>
  <si>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</si>
  <si>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</si>
  <si>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</si>
  <si>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</si>
  <si>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</si>
  <si>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</si>
  <si>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</si>
  <si>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</si>
  <si>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</si>
  <si>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</si>
  <si>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</si>
  <si>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</si>
  <si>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</si>
  <si>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</si>
  <si>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</si>
  <si>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</si>
  <si>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</si>
  <si>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</si>
  <si>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</si>
  <si>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</si>
  <si>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</si>
  <si>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</si>
  <si>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</si>
  <si>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</si>
  <si>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</si>
  <si>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</si>
  <si>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</si>
  <si>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</si>
  <si>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</si>
  <si>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</si>
  <si>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</si>
  <si>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</si>
  <si>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</si>
  <si>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</si>
  <si>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</si>
  <si>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</si>
  <si>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</si>
  <si>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</si>
  <si>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</si>
  <si>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</si>
  <si>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</si>
  <si>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</si>
  <si>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</si>
  <si>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</si>
  <si>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</si>
  <si>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</si>
  <si>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</si>
  <si>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</si>
  <si>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</si>
  <si>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</si>
  <si>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</si>
  <si>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</si>
  <si>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</si>
  <si>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</si>
  <si>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</si>
  <si>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</si>
  <si>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</si>
  <si>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</si>
  <si>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</si>
  <si>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</si>
  <si>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</si>
  <si>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</si>
  <si>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</si>
  <si>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</si>
  <si>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</si>
  <si>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</si>
  <si>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</si>
  <si>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</si>
  <si>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</si>
  <si>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</si>
  <si>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</si>
  <si>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</si>
  <si>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</si>
  <si>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</si>
  <si>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</si>
  <si>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</si>
  <si>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</si>
  <si>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</si>
  <si>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</si>
  <si>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</si>
  <si>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</si>
  <si>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</si>
  <si>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</si>
  <si>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KEENE</t>
  </si>
  <si>
    <t>7/99</t>
  </si>
  <si>
    <t>08/06</t>
  </si>
  <si>
    <t>07/10</t>
  </si>
  <si>
    <t>08/16</t>
  </si>
  <si>
    <t>08/19</t>
  </si>
  <si>
    <t>08/39</t>
  </si>
  <si>
    <t>08/36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</si>
</sst>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279</v>
      </c>
      <c r="C2" s="21">
        <v>279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2306349.57+1000-1082564.61</f>
        <v>1224784.9599999997</v>
      </c>
      <c r="G9" s="18">
        <f>171814.49+300</f>
        <v>172114.49</v>
      </c>
      <c r="H9" s="18">
        <f>65966.65+176349.04+607.26</f>
        <v>242922.95</v>
      </c>
      <c r="I9" s="18">
        <v>328837.21000000002</v>
      </c>
      <c r="J9" s="67">
        <f>SUM(I439)</f>
        <v>437581.27999999997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359511.74</v>
      </c>
      <c r="G12" s="18"/>
      <c r="H12" s="18">
        <f>69880.18</f>
        <v>69880.179999999993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2444366.5499999998</v>
      </c>
      <c r="G13" s="18">
        <v>58917.08</v>
      </c>
      <c r="H13" s="18">
        <f>451098.32</f>
        <v>451098.32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42955.28</v>
      </c>
      <c r="G14" s="18">
        <v>5435.71</v>
      </c>
      <c r="H14" s="18">
        <f>63839.54</f>
        <v>63839.54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3389</v>
      </c>
      <c r="G17" s="18"/>
      <c r="H17" s="18">
        <f>729+2226.64</f>
        <v>2955.64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4075007.5299999993</v>
      </c>
      <c r="G19" s="41">
        <f>SUM(G9:G18)</f>
        <v>236467.28</v>
      </c>
      <c r="H19" s="41">
        <f>SUM(H9:H18)</f>
        <v>830696.63</v>
      </c>
      <c r="I19" s="41">
        <f>SUM(I9:I18)</f>
        <v>328837.21000000002</v>
      </c>
      <c r="J19" s="41">
        <f>SUM(J9:J18)</f>
        <v>437581.27999999997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359511.74+69880.18</f>
        <v>429391.92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25621.81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594867.16</v>
      </c>
      <c r="G24" s="18">
        <v>111.67</v>
      </c>
      <c r="H24" s="18">
        <f>22435.4+2033.67</f>
        <v>24469.07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9371.17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152604</v>
      </c>
      <c r="G30" s="18">
        <v>24996.66</v>
      </c>
      <c r="H30" s="18">
        <v>58785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782464.14000000013</v>
      </c>
      <c r="G32" s="41">
        <f>SUM(G22:G31)</f>
        <v>25108.329999999998</v>
      </c>
      <c r="H32" s="41">
        <f>SUM(H22:H31)</f>
        <v>512645.99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3389</v>
      </c>
      <c r="G36" s="18"/>
      <c r="H36" s="18">
        <f>2226.64</f>
        <v>2226.64</v>
      </c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211358.95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287433.5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>
        <f>84573.58+186017.81</f>
        <v>270591.39</v>
      </c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100001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437581.28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225522.39</v>
      </c>
      <c r="G49" s="18"/>
      <c r="H49" s="18">
        <v>45232.61</v>
      </c>
      <c r="I49" s="18">
        <v>41403.71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2963631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3292543.39</v>
      </c>
      <c r="G51" s="41">
        <f>SUM(G35:G50)</f>
        <v>211358.95</v>
      </c>
      <c r="H51" s="41">
        <f>SUM(H35:H50)</f>
        <v>318050.64</v>
      </c>
      <c r="I51" s="41">
        <f>SUM(I35:I50)</f>
        <v>328837.21000000002</v>
      </c>
      <c r="J51" s="41">
        <f>SUM(J35:J50)</f>
        <v>437581.28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4075007.5300000003</v>
      </c>
      <c r="G52" s="41">
        <f>G51+G32</f>
        <v>236467.28</v>
      </c>
      <c r="H52" s="41">
        <f>H51+H32</f>
        <v>830696.63</v>
      </c>
      <c r="I52" s="41">
        <f>I51+I32</f>
        <v>328837.21000000002</v>
      </c>
      <c r="J52" s="41">
        <f>J51+J32</f>
        <v>437581.28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27780699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27780699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35332</v>
      </c>
      <c r="G63" s="24" t="s">
        <v>289</v>
      </c>
      <c r="H63" s="18">
        <v>135147.25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>
        <v>7353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>
        <v>214500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>
        <v>92668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8095602.0899999999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3636137.54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88368.48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11855440.109999999</v>
      </c>
      <c r="G79" s="45" t="s">
        <v>289</v>
      </c>
      <c r="H79" s="41">
        <f>SUM(H63:H78)</f>
        <v>449668.25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8671.94</v>
      </c>
      <c r="G96" s="18"/>
      <c r="H96" s="18"/>
      <c r="I96" s="18"/>
      <c r="J96" s="18">
        <f>154.17+6.11</f>
        <v>160.28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258945.08+38402.73+424753.9+25611.7+15242.43</f>
        <v>762955.84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39261.22</v>
      </c>
      <c r="G102" s="18"/>
      <c r="H102" s="18">
        <v>136370.89000000001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>
        <v>6300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227036.14</v>
      </c>
      <c r="G105" s="18"/>
      <c r="H105" s="18">
        <v>92990.28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861662.26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115965.66+90314.7</f>
        <v>206280.36</v>
      </c>
      <c r="G110" s="18">
        <v>21325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1342911.92</v>
      </c>
      <c r="G111" s="41">
        <f>SUM(G96:G110)</f>
        <v>784280.84</v>
      </c>
      <c r="H111" s="41">
        <f>SUM(H96:H110)</f>
        <v>235661.17</v>
      </c>
      <c r="I111" s="41">
        <f>SUM(I96:I110)</f>
        <v>0</v>
      </c>
      <c r="J111" s="41">
        <f>SUM(J96:J110)</f>
        <v>160.28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40979051.030000001</v>
      </c>
      <c r="G112" s="41">
        <f>G60+G111</f>
        <v>784280.84</v>
      </c>
      <c r="H112" s="41">
        <f>H60+H79+H94+H111</f>
        <v>685329.42</v>
      </c>
      <c r="I112" s="41">
        <f>I60+I111</f>
        <v>0</v>
      </c>
      <c r="J112" s="41">
        <f>J60+J111</f>
        <v>160.28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10475824.27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4300852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14776676.27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1790646.14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509372.65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197773.76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13911.56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2497792.5499999998</v>
      </c>
      <c r="G136" s="41">
        <f>SUM(G123:G135)</f>
        <v>13911.56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17274468.82</v>
      </c>
      <c r="G140" s="41">
        <f>G121+SUM(G136:G137)</f>
        <v>13911.56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717533.85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133417.54999999999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280335.64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171094.73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671701.37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757532.56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505123.23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505123.23</v>
      </c>
      <c r="G162" s="41">
        <f>SUM(G150:G161)</f>
        <v>671701.37</v>
      </c>
      <c r="H162" s="41">
        <f>SUM(H150:H161)</f>
        <v>2059914.33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505123.23</v>
      </c>
      <c r="G169" s="41">
        <f>G147+G162+SUM(G163:G168)</f>
        <v>671701.37</v>
      </c>
      <c r="H169" s="41">
        <f>H147+H162+SUM(H163:H168)</f>
        <v>2059914.33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20510.47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20510.47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>
        <v>12455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12455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20510.47</v>
      </c>
      <c r="G192" s="41">
        <f>G183+SUM(G188:G191)</f>
        <v>0</v>
      </c>
      <c r="H192" s="41">
        <f>+H183+SUM(H188:H191)</f>
        <v>0</v>
      </c>
      <c r="I192" s="41">
        <f>I177+I183+SUM(I188:I191)</f>
        <v>12455</v>
      </c>
      <c r="J192" s="41">
        <f>J183</f>
        <v>100000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58779153.549999997</v>
      </c>
      <c r="G193" s="47">
        <f>G112+G140+G169+G192</f>
        <v>1469893.77</v>
      </c>
      <c r="H193" s="47">
        <f>H112+H140+H169+H192</f>
        <v>2745243.75</v>
      </c>
      <c r="I193" s="47">
        <f>I112+I140+I169+I192</f>
        <v>12455</v>
      </c>
      <c r="J193" s="47">
        <f>J112+J140+J192</f>
        <v>100160.28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5734574.3700000001</v>
      </c>
      <c r="G197" s="18">
        <v>2410205.65</v>
      </c>
      <c r="H197" s="18">
        <f>4726.76</f>
        <v>4726.76</v>
      </c>
      <c r="I197" s="18">
        <v>205579.47</v>
      </c>
      <c r="J197" s="18">
        <v>12080</v>
      </c>
      <c r="K197" s="18">
        <v>25102.29</v>
      </c>
      <c r="L197" s="19">
        <f>SUM(F197:K197)</f>
        <v>8392268.5399999991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3150371.34+111621.73</f>
        <v>3261993.07</v>
      </c>
      <c r="G198" s="18">
        <f>1150650.11+45524.82</f>
        <v>1196174.9300000002</v>
      </c>
      <c r="H198" s="18">
        <f>598618.38+743.53</f>
        <v>599361.91</v>
      </c>
      <c r="I198" s="18">
        <f>18257.13+975.67</f>
        <v>19232.8</v>
      </c>
      <c r="J198" s="18">
        <f>6021.14+91.99</f>
        <v>6113.13</v>
      </c>
      <c r="K198" s="18"/>
      <c r="L198" s="19">
        <f>SUM(F198:K198)</f>
        <v>5082875.84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9548+20462.25</f>
        <v>30010.25</v>
      </c>
      <c r="G200" s="18">
        <f>2061.35+4288.8</f>
        <v>6350.15</v>
      </c>
      <c r="H200" s="18"/>
      <c r="I200" s="18">
        <v>215.78</v>
      </c>
      <c r="J200" s="18"/>
      <c r="K200" s="18"/>
      <c r="L200" s="19">
        <f>SUM(F200:K200)</f>
        <v>36576.18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26641.41+309410.63+249992.09+295768.61+697090.03+251509.34+53409.27</f>
        <v>1883821.3800000001</v>
      </c>
      <c r="G202" s="18">
        <f>2178.47+146838.4+87199.97+125126.35+322771.63+114138.27+25269.96</f>
        <v>823523.05</v>
      </c>
      <c r="H202" s="18">
        <f>2641.57+321.23+175+991.15+24987.15+3876+1000</f>
        <v>33992.100000000006</v>
      </c>
      <c r="I202" s="18">
        <f>7538.36+1967.98+2209.75+912.86</f>
        <v>12628.95</v>
      </c>
      <c r="J202" s="18"/>
      <c r="K202" s="18"/>
      <c r="L202" s="19">
        <f t="shared" ref="L202:L208" si="0">SUM(F202:K202)</f>
        <v>2753965.4800000004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3750+52125+31702.67+243875.16</f>
        <v>331452.83</v>
      </c>
      <c r="G203" s="18">
        <f>837.76+11687.1+36767.52+129259.06</f>
        <v>178551.44</v>
      </c>
      <c r="H203" s="18">
        <f>1295+66990.85+4442.38+34995.6+1277.81</f>
        <v>109001.64000000001</v>
      </c>
      <c r="I203" s="18">
        <f>8237.76+8593.27+23847.19+2035.75</f>
        <v>42713.97</v>
      </c>
      <c r="J203" s="18">
        <v>1167.67</v>
      </c>
      <c r="K203" s="18">
        <v>577.28</v>
      </c>
      <c r="L203" s="19">
        <f t="shared" si="0"/>
        <v>663464.83000000007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8791.55+500+2035+1850+161830.77</f>
        <v>175007.31999999998</v>
      </c>
      <c r="G204" s="18">
        <f>29813.06+719.63+40.9+166.48+151.3+70269.12+8325</f>
        <v>109485.48999999999</v>
      </c>
      <c r="H204" s="18">
        <f>8299.56+33893.18+576789.32+3757.42</f>
        <v>622739.48</v>
      </c>
      <c r="I204" s="18">
        <f>19509.27+1168.26</f>
        <v>20677.53</v>
      </c>
      <c r="J204" s="18">
        <v>729</v>
      </c>
      <c r="K204" s="18">
        <f>24274.02+5415.56+30.99+488</f>
        <v>30208.570000000003</v>
      </c>
      <c r="L204" s="19">
        <f t="shared" si="0"/>
        <v>958847.3899999999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832834.34</v>
      </c>
      <c r="G205" s="18">
        <v>331229.46000000002</v>
      </c>
      <c r="H205" s="18">
        <v>45781.81</v>
      </c>
      <c r="I205" s="18">
        <v>3969.24</v>
      </c>
      <c r="J205" s="18"/>
      <c r="K205" s="18">
        <v>2329</v>
      </c>
      <c r="L205" s="19">
        <f t="shared" si="0"/>
        <v>1216143.8500000001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7397.04</v>
      </c>
      <c r="I206" s="18"/>
      <c r="J206" s="18"/>
      <c r="K206" s="18">
        <v>636.14</v>
      </c>
      <c r="L206" s="19">
        <f t="shared" si="0"/>
        <v>8033.18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560060.49</f>
        <v>560060.49</v>
      </c>
      <c r="G207" s="18">
        <v>276721.15999999997</v>
      </c>
      <c r="H207" s="18">
        <f>293529.32+26709.11+387086.5</f>
        <v>707324.92999999993</v>
      </c>
      <c r="I207" s="18">
        <f>428776.7</f>
        <v>428776.7</v>
      </c>
      <c r="J207" s="18">
        <v>17345.13</v>
      </c>
      <c r="K207" s="18">
        <v>1793.52</v>
      </c>
      <c r="L207" s="19">
        <f t="shared" si="0"/>
        <v>1992021.9299999997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328828.96+341191.28+19756.48</f>
        <v>689776.72</v>
      </c>
      <c r="I208" s="18"/>
      <c r="J208" s="18"/>
      <c r="K208" s="18"/>
      <c r="L208" s="19">
        <f t="shared" si="0"/>
        <v>689776.72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12010.13+113410.28</f>
        <v>125420.41</v>
      </c>
      <c r="G209" s="18">
        <f>3938.69+45936.53</f>
        <v>49875.22</v>
      </c>
      <c r="H209" s="18">
        <f>1963.4+7379.06+43920.78</f>
        <v>53263.24</v>
      </c>
      <c r="I209" s="18">
        <f>4042.84+36934.8</f>
        <v>40977.64</v>
      </c>
      <c r="J209" s="18">
        <v>151587.32999999999</v>
      </c>
      <c r="K209" s="18"/>
      <c r="L209" s="19">
        <f>SUM(F209:K209)</f>
        <v>421123.83999999997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12935174.460000001</v>
      </c>
      <c r="G211" s="41">
        <f t="shared" si="1"/>
        <v>5382116.5500000007</v>
      </c>
      <c r="H211" s="41">
        <f t="shared" si="1"/>
        <v>2873365.63</v>
      </c>
      <c r="I211" s="41">
        <f t="shared" si="1"/>
        <v>774772.08</v>
      </c>
      <c r="J211" s="41">
        <f t="shared" si="1"/>
        <v>189022.26</v>
      </c>
      <c r="K211" s="41">
        <f t="shared" si="1"/>
        <v>60646.799999999996</v>
      </c>
      <c r="L211" s="41">
        <f t="shared" si="1"/>
        <v>22215097.779999997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2711981.75</v>
      </c>
      <c r="G215" s="18">
        <v>1265122.05</v>
      </c>
      <c r="H215" s="18">
        <v>3088.87</v>
      </c>
      <c r="I215" s="18">
        <v>80226.86</v>
      </c>
      <c r="J215" s="18">
        <v>33100.01</v>
      </c>
      <c r="K215" s="18">
        <v>7340.72</v>
      </c>
      <c r="L215" s="19">
        <f>SUM(F215:K215)</f>
        <v>4100860.26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1046692.62+39250.12</f>
        <v>1085942.74</v>
      </c>
      <c r="G216" s="18">
        <f>470153.09+21185.66</f>
        <v>491338.75</v>
      </c>
      <c r="H216" s="18">
        <v>451753.59</v>
      </c>
      <c r="I216" s="18">
        <v>9118.39</v>
      </c>
      <c r="J216" s="18">
        <v>1208.51</v>
      </c>
      <c r="K216" s="18"/>
      <c r="L216" s="19">
        <f>SUM(F216:K216)</f>
        <v>2039361.98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38841.45+32461.7+6252.16</f>
        <v>77555.31</v>
      </c>
      <c r="G218" s="18">
        <f>7327.65+6017.34+1361.02</f>
        <v>14706.01</v>
      </c>
      <c r="H218" s="18">
        <f>3600+8246.06</f>
        <v>11846.06</v>
      </c>
      <c r="I218" s="18">
        <f>2915.88+6150.97</f>
        <v>9066.85</v>
      </c>
      <c r="J218" s="18"/>
      <c r="K218" s="18">
        <f>590+1764</f>
        <v>2354</v>
      </c>
      <c r="L218" s="19">
        <f>SUM(F218:K218)</f>
        <v>115528.23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4898.48+193595.44+62321.23+137862.92+28065.69+23779.1+63663.06</f>
        <v>514185.92000000004</v>
      </c>
      <c r="G220" s="18">
        <f>400.19+97176.03+32112.02+62132.43+12096.06+12547.94+27771.22</f>
        <v>244235.89</v>
      </c>
      <c r="H220" s="18">
        <f>6280+2035+3837.5</f>
        <v>12152.5</v>
      </c>
      <c r="I220" s="18">
        <f>351.76+2739.35+520.49+126+180.2</f>
        <v>3917.7999999999993</v>
      </c>
      <c r="J220" s="18">
        <v>183.9</v>
      </c>
      <c r="K220" s="18">
        <f>120+135</f>
        <v>255</v>
      </c>
      <c r="L220" s="19">
        <f t="shared" ref="L220:L226" si="2">SUM(F220:K220)</f>
        <v>774931.01000000013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2850+21000+6902.5+102113.56</f>
        <v>132866.06</v>
      </c>
      <c r="G221" s="18">
        <f>636.71+4650.29+17536.29+46085.4</f>
        <v>68908.69</v>
      </c>
      <c r="H221" s="18">
        <f>700+30284.27+2359.93+189+18469.9+2055.36</f>
        <v>54058.46</v>
      </c>
      <c r="I221" s="18">
        <f>6974.97+4779.83+21184.41+8079.78+517.81</f>
        <v>41536.799999999996</v>
      </c>
      <c r="J221" s="18">
        <v>5734.71</v>
      </c>
      <c r="K221" s="18">
        <f>1782+360</f>
        <v>2142</v>
      </c>
      <c r="L221" s="19">
        <f t="shared" si="2"/>
        <v>305246.72000000003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4752.25+1100+1000+95207.08</f>
        <v>102059.33</v>
      </c>
      <c r="G222" s="18">
        <f>12259+389.05+90+81.8+39355.19+4500</f>
        <v>56675.040000000001</v>
      </c>
      <c r="H222" s="18">
        <f>4486.25+11666.64+311778</f>
        <v>327930.89</v>
      </c>
      <c r="I222" s="18">
        <f>10466.71</f>
        <v>10466.709999999999</v>
      </c>
      <c r="J222" s="18"/>
      <c r="K222" s="18">
        <f>88.2+2926.86+16.75</f>
        <v>3031.81</v>
      </c>
      <c r="L222" s="19">
        <f t="shared" si="2"/>
        <v>500163.78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308212.77</v>
      </c>
      <c r="G223" s="18">
        <v>125694.69</v>
      </c>
      <c r="H223" s="18">
        <f>26993.31+500</f>
        <v>27493.31</v>
      </c>
      <c r="I223" s="18"/>
      <c r="J223" s="18"/>
      <c r="K223" s="18">
        <v>3018.47</v>
      </c>
      <c r="L223" s="19">
        <f t="shared" si="2"/>
        <v>464419.24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>
        <v>3998.4</v>
      </c>
      <c r="I224" s="18"/>
      <c r="J224" s="18"/>
      <c r="K224" s="18"/>
      <c r="L224" s="19">
        <f t="shared" si="2"/>
        <v>3998.4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300060.09+2126.5-333</f>
        <v>301853.59000000003</v>
      </c>
      <c r="G225" s="18">
        <f>148008.36+371.11</f>
        <v>148379.46999999997</v>
      </c>
      <c r="H225" s="18">
        <f>136886.15+518+333</f>
        <v>137737.15</v>
      </c>
      <c r="I225" s="18">
        <v>237233.58</v>
      </c>
      <c r="J225" s="18">
        <v>9227.7099999999991</v>
      </c>
      <c r="K225" s="18">
        <v>1007.13</v>
      </c>
      <c r="L225" s="19">
        <f t="shared" si="2"/>
        <v>835438.62999999989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2369.09</f>
        <v>2369.09</v>
      </c>
      <c r="G226" s="18">
        <v>301.06</v>
      </c>
      <c r="H226" s="18">
        <f>168425.6+171430+17468+8208.41</f>
        <v>365532.00999999995</v>
      </c>
      <c r="I226" s="18"/>
      <c r="J226" s="18"/>
      <c r="K226" s="18"/>
      <c r="L226" s="19">
        <f t="shared" si="2"/>
        <v>368202.16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6485.21+89128.61</f>
        <v>95613.82</v>
      </c>
      <c r="G227" s="18">
        <f>2127.84+38876.71</f>
        <v>41004.550000000003</v>
      </c>
      <c r="H227" s="18">
        <f>1094.67+3787.52+48239.78+2460.29</f>
        <v>55582.26</v>
      </c>
      <c r="I227" s="18">
        <f>2152.8+17607.03</f>
        <v>19759.829999999998</v>
      </c>
      <c r="J227" s="18">
        <v>61768.07</v>
      </c>
      <c r="K227" s="18"/>
      <c r="L227" s="19">
        <f>SUM(F227:K227)</f>
        <v>273728.52999999997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5332640.3800000008</v>
      </c>
      <c r="G229" s="41">
        <f>SUM(G215:G228)</f>
        <v>2456366.1999999997</v>
      </c>
      <c r="H229" s="41">
        <f>SUM(H215:H228)</f>
        <v>1451173.5</v>
      </c>
      <c r="I229" s="41">
        <f>SUM(I215:I228)</f>
        <v>411326.82</v>
      </c>
      <c r="J229" s="41">
        <f>SUM(J215:J228)</f>
        <v>111222.91</v>
      </c>
      <c r="K229" s="41">
        <f t="shared" si="3"/>
        <v>19149.13</v>
      </c>
      <c r="L229" s="41">
        <f t="shared" si="3"/>
        <v>9781878.9399999995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5284138.18</v>
      </c>
      <c r="G233" s="18">
        <v>2373542.4500000002</v>
      </c>
      <c r="H233" s="18">
        <v>50487.95</v>
      </c>
      <c r="I233" s="18">
        <v>167775.14</v>
      </c>
      <c r="J233" s="18">
        <v>95426.02</v>
      </c>
      <c r="K233" s="18">
        <v>15120.5</v>
      </c>
      <c r="L233" s="19">
        <f>SUM(F233:K233)</f>
        <v>7986490.2399999993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1835632.19</v>
      </c>
      <c r="G234" s="18">
        <v>789582.23</v>
      </c>
      <c r="H234" s="18">
        <v>1105825.83</v>
      </c>
      <c r="I234" s="18">
        <v>12170.09</v>
      </c>
      <c r="J234" s="18">
        <v>2127.66</v>
      </c>
      <c r="K234" s="18"/>
      <c r="L234" s="19">
        <f>SUM(F234:K234)</f>
        <v>3745338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886323.96</v>
      </c>
      <c r="G235" s="18">
        <v>431431.96</v>
      </c>
      <c r="H235" s="18">
        <v>15879.52</v>
      </c>
      <c r="I235" s="18">
        <v>34275.56</v>
      </c>
      <c r="J235" s="18">
        <v>7857.11</v>
      </c>
      <c r="K235" s="18">
        <v>295</v>
      </c>
      <c r="L235" s="19">
        <f>SUM(F235:K235)</f>
        <v>1376063.11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64892.75+249336.08+775</f>
        <v>315003.82999999996</v>
      </c>
      <c r="G236" s="18">
        <f>13514.04+65122.05+173.14</f>
        <v>78809.23</v>
      </c>
      <c r="H236" s="18">
        <f>2915+98943.05</f>
        <v>101858.05</v>
      </c>
      <c r="I236" s="18">
        <f>1961+20318.26</f>
        <v>22279.26</v>
      </c>
      <c r="J236" s="18">
        <v>20709.98</v>
      </c>
      <c r="K236" s="18">
        <v>9229.5300000000007</v>
      </c>
      <c r="L236" s="19">
        <f>SUM(F236:K236)</f>
        <v>547889.88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10608.87+487808.74+128714.88+72947.04+49050.03+35668.88+246755.1</f>
        <v>1031553.54</v>
      </c>
      <c r="G238" s="18">
        <f>866.63+222196.1+65401.58+18291.17+19261.9+2917.72+94578.15</f>
        <v>423513.25</v>
      </c>
      <c r="H238" s="18">
        <f>3395.21+4519.04+19359.36+3131.25+115375</f>
        <v>145779.85999999999</v>
      </c>
      <c r="I238" s="18">
        <f>984.87+2492.08+1148.41+388.17</f>
        <v>5013.53</v>
      </c>
      <c r="J238" s="18"/>
      <c r="K238" s="18">
        <f>369+195</f>
        <v>564</v>
      </c>
      <c r="L238" s="19">
        <f t="shared" ref="L238:L244" si="4">SUM(F238:K238)</f>
        <v>1606424.18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1000+27456.25+33104+117845.59</f>
        <v>179405.84</v>
      </c>
      <c r="G239" s="18">
        <f>223.38+6217.42+41695.21+76476.84</f>
        <v>124612.85</v>
      </c>
      <c r="H239" s="18">
        <f>1505+119683.24+5447.37+747.4+43744.5</f>
        <v>171127.51</v>
      </c>
      <c r="I239" s="18">
        <f>3902.38+13441.66+47354.39+1113.26</f>
        <v>65811.69</v>
      </c>
      <c r="J239" s="18">
        <v>4981.58</v>
      </c>
      <c r="K239" s="18">
        <f>1677+263</f>
        <v>1940</v>
      </c>
      <c r="L239" s="19">
        <f t="shared" si="4"/>
        <v>547879.47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10217.45+2365+2150+141435.8</f>
        <v>156168.25</v>
      </c>
      <c r="G240" s="18">
        <f>38722.68+836.5+193.44+175.9+44817.61+9675</f>
        <v>94421.13</v>
      </c>
      <c r="H240" s="18">
        <f>9645.44+46438.17+670322.68</f>
        <v>726406.29</v>
      </c>
      <c r="I240" s="18">
        <f>23187.98</f>
        <v>23187.98</v>
      </c>
      <c r="J240" s="18"/>
      <c r="K240" s="18">
        <f>88.2+6296.88+36.02</f>
        <v>6421.1</v>
      </c>
      <c r="L240" s="19">
        <f t="shared" si="4"/>
        <v>1006604.75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823637.14</v>
      </c>
      <c r="G241" s="18">
        <v>309799.39</v>
      </c>
      <c r="H241" s="18">
        <f>91835.07+810.15</f>
        <v>92645.22</v>
      </c>
      <c r="I241" s="18">
        <f>13172.97+12500.61</f>
        <v>25673.58</v>
      </c>
      <c r="J241" s="18">
        <v>5447.05</v>
      </c>
      <c r="K241" s="18">
        <v>10640.49</v>
      </c>
      <c r="L241" s="19">
        <f t="shared" si="4"/>
        <v>1267842.8700000001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>
        <v>8596.56</v>
      </c>
      <c r="I242" s="18"/>
      <c r="J242" s="18"/>
      <c r="K242" s="18"/>
      <c r="L242" s="19">
        <f t="shared" si="4"/>
        <v>8596.56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616009.1+75901.79+8900.95+2972.25</f>
        <v>703784.09</v>
      </c>
      <c r="G243" s="18">
        <f>298496.55+47012.64+980.85+498.24</f>
        <v>346988.27999999997</v>
      </c>
      <c r="H243" s="18">
        <f>301106.96+82304.06+81764+490920.45</f>
        <v>956095.47</v>
      </c>
      <c r="I243" s="18">
        <f>721777.59+25180.58</f>
        <v>746958.16999999993</v>
      </c>
      <c r="J243" s="18">
        <f>31438.59+1858.3</f>
        <v>33296.89</v>
      </c>
      <c r="K243" s="18">
        <v>2412.5300000000002</v>
      </c>
      <c r="L243" s="19">
        <f t="shared" si="4"/>
        <v>2789535.4299999997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362115.04+278812.25+2553.19+134335+12915.55</f>
        <v>790731.03</v>
      </c>
      <c r="I244" s="18"/>
      <c r="J244" s="18"/>
      <c r="K244" s="18"/>
      <c r="L244" s="19">
        <f t="shared" si="4"/>
        <v>790731.03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14004.4+114545.57</f>
        <v>128549.97</v>
      </c>
      <c r="G245" s="18">
        <f>4586.45+35573.72</f>
        <v>40160.17</v>
      </c>
      <c r="H245" s="18">
        <f>2363.56+7994.51+40761.25</f>
        <v>51119.32</v>
      </c>
      <c r="I245" s="18">
        <f>4628.52+46089.63</f>
        <v>50718.149999999994</v>
      </c>
      <c r="J245" s="18">
        <v>173969.15</v>
      </c>
      <c r="K245" s="18"/>
      <c r="L245" s="19">
        <f>SUM(F245:K245)</f>
        <v>444516.76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11344196.99</v>
      </c>
      <c r="G247" s="41">
        <f t="shared" si="5"/>
        <v>5012860.9399999995</v>
      </c>
      <c r="H247" s="41">
        <f t="shared" si="5"/>
        <v>4216552.6100000003</v>
      </c>
      <c r="I247" s="41">
        <f t="shared" si="5"/>
        <v>1153863.1499999999</v>
      </c>
      <c r="J247" s="41">
        <f t="shared" si="5"/>
        <v>343815.43999999994</v>
      </c>
      <c r="K247" s="41">
        <f t="shared" si="5"/>
        <v>46623.149999999994</v>
      </c>
      <c r="L247" s="41">
        <f t="shared" si="5"/>
        <v>22117912.280000001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>
        <v>3532.97</v>
      </c>
      <c r="L255" s="19">
        <f t="shared" si="6"/>
        <v>3532.97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3532.97</v>
      </c>
      <c r="L256" s="41">
        <f>SUM(F256:K256)</f>
        <v>3532.97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29612011.830000006</v>
      </c>
      <c r="G257" s="41">
        <f t="shared" si="8"/>
        <v>12851343.689999999</v>
      </c>
      <c r="H257" s="41">
        <f t="shared" si="8"/>
        <v>8541091.7400000002</v>
      </c>
      <c r="I257" s="41">
        <f t="shared" si="8"/>
        <v>2339962.0499999998</v>
      </c>
      <c r="J257" s="41">
        <f t="shared" si="8"/>
        <v>644060.61</v>
      </c>
      <c r="K257" s="41">
        <f t="shared" si="8"/>
        <v>129952.04999999999</v>
      </c>
      <c r="L257" s="41">
        <f t="shared" si="8"/>
        <v>54118421.969999999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2932843.18</v>
      </c>
      <c r="L260" s="19">
        <f>SUM(F260:K260)</f>
        <v>2932843.18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695150.57</v>
      </c>
      <c r="L261" s="19">
        <f>SUM(F261:K261)</f>
        <v>695150.57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3727993.75</v>
      </c>
      <c r="L270" s="41">
        <f t="shared" si="9"/>
        <v>3727993.75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29612011.830000006</v>
      </c>
      <c r="G271" s="42">
        <f t="shared" si="11"/>
        <v>12851343.689999999</v>
      </c>
      <c r="H271" s="42">
        <f t="shared" si="11"/>
        <v>8541091.7400000002</v>
      </c>
      <c r="I271" s="42">
        <f t="shared" si="11"/>
        <v>2339962.0499999998</v>
      </c>
      <c r="J271" s="42">
        <f t="shared" si="11"/>
        <v>644060.61</v>
      </c>
      <c r="K271" s="42">
        <f t="shared" si="11"/>
        <v>3857945.8</v>
      </c>
      <c r="L271" s="42">
        <f t="shared" si="11"/>
        <v>57846415.719999999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424212.24</f>
        <v>424212.24</v>
      </c>
      <c r="G276" s="18">
        <f>111306.2</f>
        <v>111306.2</v>
      </c>
      <c r="H276" s="18">
        <f>2384.77+1464.05</f>
        <v>3848.8199999999997</v>
      </c>
      <c r="I276" s="18">
        <f>12947.41+708.02</f>
        <v>13655.43</v>
      </c>
      <c r="J276" s="18">
        <f>12156.91+30131.21</f>
        <v>42288.119999999995</v>
      </c>
      <c r="K276" s="18"/>
      <c r="L276" s="19">
        <f>SUM(F276:K276)</f>
        <v>595310.80999999994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62000</f>
        <v>62000</v>
      </c>
      <c r="G277" s="18">
        <f>13803.95</f>
        <v>13803.95</v>
      </c>
      <c r="H277" s="18"/>
      <c r="I277" s="18">
        <f>18071.53</f>
        <v>18071.53</v>
      </c>
      <c r="J277" s="18"/>
      <c r="K277" s="18"/>
      <c r="L277" s="19">
        <f>SUM(F277:K277)</f>
        <v>93875.48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13100</f>
        <v>13100</v>
      </c>
      <c r="G279" s="18">
        <f>2513.09</f>
        <v>2513.09</v>
      </c>
      <c r="H279" s="18">
        <f>1000+68.6+1635.89</f>
        <v>2704.49</v>
      </c>
      <c r="I279" s="18">
        <f>991.87</f>
        <v>991.87</v>
      </c>
      <c r="J279" s="18"/>
      <c r="K279" s="18">
        <f>492.96+355.2</f>
        <v>848.16</v>
      </c>
      <c r="L279" s="19">
        <f>SUM(F279:K279)</f>
        <v>20157.61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38250+9952+6256.8+751.56</f>
        <v>55210.36</v>
      </c>
      <c r="G281" s="18">
        <f>14206.57+814.1+1405.71+61.52</f>
        <v>16487.900000000001</v>
      </c>
      <c r="H281" s="18">
        <f>765+1043.75+10.31</f>
        <v>1819.06</v>
      </c>
      <c r="I281" s="18">
        <f>11721.61</f>
        <v>11721.61</v>
      </c>
      <c r="J281" s="18"/>
      <c r="K281" s="18">
        <f>1757.2+730.1</f>
        <v>2487.3000000000002</v>
      </c>
      <c r="L281" s="19">
        <f t="shared" ref="L281:L287" si="12">SUM(F281:K281)</f>
        <v>87726.23000000001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14671.22+88705.4+64529.95+17594.01</f>
        <v>185500.58000000002</v>
      </c>
      <c r="G282" s="18">
        <f>3111.55+45413.81+32518.85+3812.34</f>
        <v>84856.549999999988</v>
      </c>
      <c r="H282" s="18">
        <f>36382.16+17355+26011.82</f>
        <v>79748.98000000001</v>
      </c>
      <c r="I282" s="18">
        <f>480+1661.51</f>
        <v>2141.5100000000002</v>
      </c>
      <c r="J282" s="18"/>
      <c r="K282" s="18"/>
      <c r="L282" s="19">
        <f t="shared" si="12"/>
        <v>352247.62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f>49904.38+444</f>
        <v>50348.38</v>
      </c>
      <c r="G283" s="18">
        <f>25625.22+106.03</f>
        <v>25731.25</v>
      </c>
      <c r="H283" s="18">
        <f>1300+17080.31</f>
        <v>18380.310000000001</v>
      </c>
      <c r="I283" s="18"/>
      <c r="J283" s="18"/>
      <c r="K283" s="18"/>
      <c r="L283" s="19">
        <f t="shared" si="12"/>
        <v>94459.94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f>5233.29</f>
        <v>5233.29</v>
      </c>
      <c r="L285" s="19">
        <f t="shared" si="12"/>
        <v>5233.29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f>1829.84</f>
        <v>1829.84</v>
      </c>
      <c r="G286" s="18">
        <f>149.67</f>
        <v>149.66999999999999</v>
      </c>
      <c r="H286" s="18">
        <f>19169.59</f>
        <v>19169.59</v>
      </c>
      <c r="I286" s="18"/>
      <c r="J286" s="18"/>
      <c r="K286" s="18"/>
      <c r="L286" s="19">
        <f t="shared" si="12"/>
        <v>21149.1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f>1067.5+1110</f>
        <v>2177.5</v>
      </c>
      <c r="I287" s="18"/>
      <c r="J287" s="18"/>
      <c r="K287" s="18">
        <f>41084.66</f>
        <v>41084.660000000003</v>
      </c>
      <c r="L287" s="19">
        <f t="shared" si="12"/>
        <v>43262.16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f>685</f>
        <v>685</v>
      </c>
      <c r="G288" s="18">
        <f>146.12</f>
        <v>146.12</v>
      </c>
      <c r="H288" s="18"/>
      <c r="I288" s="18"/>
      <c r="J288" s="18"/>
      <c r="K288" s="18"/>
      <c r="L288" s="19">
        <f>SUM(F288:K288)</f>
        <v>831.12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792886.39999999991</v>
      </c>
      <c r="G290" s="42">
        <f t="shared" si="13"/>
        <v>254994.72999999998</v>
      </c>
      <c r="H290" s="42">
        <f t="shared" si="13"/>
        <v>127848.75</v>
      </c>
      <c r="I290" s="42">
        <f t="shared" si="13"/>
        <v>46581.950000000004</v>
      </c>
      <c r="J290" s="42">
        <f t="shared" si="13"/>
        <v>42288.119999999995</v>
      </c>
      <c r="K290" s="42">
        <f t="shared" si="13"/>
        <v>49653.41</v>
      </c>
      <c r="L290" s="41">
        <f t="shared" si="13"/>
        <v>1314253.3600000001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>
        <v>791.38</v>
      </c>
      <c r="I295" s="18">
        <v>382.71</v>
      </c>
      <c r="J295" s="18">
        <v>16287.14</v>
      </c>
      <c r="K295" s="18"/>
      <c r="L295" s="19">
        <f>SUM(F295:K295)</f>
        <v>17461.23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>
        <f>3181.47</f>
        <v>3181.47</v>
      </c>
      <c r="J296" s="18"/>
      <c r="K296" s="18"/>
      <c r="L296" s="19">
        <f>SUM(F296:K296)</f>
        <v>3181.47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>
        <v>884.27</v>
      </c>
      <c r="I298" s="18"/>
      <c r="J298" s="18"/>
      <c r="K298" s="18">
        <f>65+192</f>
        <v>257</v>
      </c>
      <c r="L298" s="19">
        <f>SUM(F298:K298)</f>
        <v>1141.27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406.25</v>
      </c>
      <c r="G300" s="18">
        <v>33.26</v>
      </c>
      <c r="H300" s="18">
        <v>5.57</v>
      </c>
      <c r="I300" s="18"/>
      <c r="J300" s="18"/>
      <c r="K300" s="18">
        <v>394.65</v>
      </c>
      <c r="L300" s="19">
        <f t="shared" ref="L300:L306" si="14">SUM(F300:K300)</f>
        <v>839.73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9510.2800000000007</v>
      </c>
      <c r="G301" s="18">
        <v>2060.7199999999998</v>
      </c>
      <c r="H301" s="18">
        <f>5409.54+14060.44</f>
        <v>19469.98</v>
      </c>
      <c r="I301" s="18">
        <v>898.11</v>
      </c>
      <c r="J301" s="18"/>
      <c r="K301" s="18"/>
      <c r="L301" s="19">
        <f t="shared" si="14"/>
        <v>31939.09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240</v>
      </c>
      <c r="G302" s="18">
        <v>57.31</v>
      </c>
      <c r="H302" s="18">
        <v>9232.6</v>
      </c>
      <c r="I302" s="18"/>
      <c r="J302" s="18"/>
      <c r="K302" s="18"/>
      <c r="L302" s="19">
        <f t="shared" si="14"/>
        <v>9529.91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v>2828.8</v>
      </c>
      <c r="L304" s="19">
        <f t="shared" si="14"/>
        <v>2828.8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989.1</v>
      </c>
      <c r="G305" s="18">
        <v>80.900000000000006</v>
      </c>
      <c r="H305" s="18">
        <v>10361.950000000001</v>
      </c>
      <c r="I305" s="18"/>
      <c r="J305" s="18"/>
      <c r="K305" s="18"/>
      <c r="L305" s="19">
        <f t="shared" si="14"/>
        <v>11431.95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600</v>
      </c>
      <c r="I306" s="18"/>
      <c r="J306" s="18"/>
      <c r="K306" s="18"/>
      <c r="L306" s="19">
        <f t="shared" si="14"/>
        <v>600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>
        <f>571.9</f>
        <v>571.9</v>
      </c>
      <c r="J307" s="18"/>
      <c r="K307" s="18"/>
      <c r="L307" s="19">
        <f>SUM(F307:K307)</f>
        <v>571.9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11145.630000000001</v>
      </c>
      <c r="G309" s="42">
        <f t="shared" si="15"/>
        <v>2232.19</v>
      </c>
      <c r="H309" s="42">
        <f t="shared" si="15"/>
        <v>41345.75</v>
      </c>
      <c r="I309" s="42">
        <f t="shared" si="15"/>
        <v>5034.1899999999996</v>
      </c>
      <c r="J309" s="42">
        <f t="shared" si="15"/>
        <v>16287.14</v>
      </c>
      <c r="K309" s="42">
        <f t="shared" si="15"/>
        <v>3480.4500000000003</v>
      </c>
      <c r="L309" s="41">
        <f t="shared" si="15"/>
        <v>79525.349999999991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f>186768.63+1701.46</f>
        <v>188470.09</v>
      </c>
      <c r="I314" s="18">
        <f>64.14+822.83</f>
        <v>886.97</v>
      </c>
      <c r="J314" s="18">
        <f>1905.25+35017.36</f>
        <v>36922.61</v>
      </c>
      <c r="K314" s="18"/>
      <c r="L314" s="19">
        <f>SUM(F314:K314)</f>
        <v>226279.66999999998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65546</f>
        <v>65546</v>
      </c>
      <c r="G315" s="18">
        <f>32777.83</f>
        <v>32777.83</v>
      </c>
      <c r="H315" s="18"/>
      <c r="I315" s="18">
        <f>2252.42</f>
        <v>2252.42</v>
      </c>
      <c r="J315" s="18"/>
      <c r="K315" s="18"/>
      <c r="L315" s="19">
        <f>SUM(F315:K315)</f>
        <v>100576.25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f>6192.3</f>
        <v>6192.3</v>
      </c>
      <c r="G316" s="18">
        <f>1383.34</f>
        <v>1383.34</v>
      </c>
      <c r="H316" s="18">
        <f>11716.76</f>
        <v>11716.76</v>
      </c>
      <c r="I316" s="18">
        <f>4921.89</f>
        <v>4921.8900000000003</v>
      </c>
      <c r="J316" s="18">
        <f>69346.42</f>
        <v>69346.42</v>
      </c>
      <c r="K316" s="18">
        <f>2490.75</f>
        <v>2490.75</v>
      </c>
      <c r="L316" s="19">
        <f>SUM(F316:K316)</f>
        <v>96051.459999999992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f>2025</f>
        <v>2025</v>
      </c>
      <c r="G317" s="18">
        <f>452.4</f>
        <v>452.4</v>
      </c>
      <c r="H317" s="18">
        <v>1901.17</v>
      </c>
      <c r="I317" s="18">
        <f>770.69</f>
        <v>770.69</v>
      </c>
      <c r="J317" s="18"/>
      <c r="K317" s="18">
        <v>412.8</v>
      </c>
      <c r="L317" s="19">
        <f>SUM(F317:K317)</f>
        <v>5562.06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31256.42+930+32182.79+60481+873.44</f>
        <v>125723.65</v>
      </c>
      <c r="G319" s="18">
        <f>2556.58+76.06+14581.86+27253.87+71.5</f>
        <v>44539.869999999995</v>
      </c>
      <c r="H319" s="18">
        <f>1492+11.98</f>
        <v>1503.98</v>
      </c>
      <c r="I319" s="18">
        <f>1350+111.75</f>
        <v>1461.75</v>
      </c>
      <c r="J319" s="18"/>
      <c r="K319" s="18">
        <f>1180+848.49</f>
        <v>2028.49</v>
      </c>
      <c r="L319" s="19">
        <f t="shared" ref="L319:L325" si="16">SUM(F319:K319)</f>
        <v>175257.74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2575+36288.6+1133.17+20447.1</f>
        <v>60443.869999999995</v>
      </c>
      <c r="G320" s="18">
        <f>576.41+20052.72+214.73+4430.56</f>
        <v>25274.420000000002</v>
      </c>
      <c r="H320" s="18">
        <f>2235.5+28719.87+30229.95</f>
        <v>61185.32</v>
      </c>
      <c r="I320" s="18">
        <f>1425.79+1930.94</f>
        <v>3356.73</v>
      </c>
      <c r="J320" s="18">
        <f>1814</f>
        <v>1814</v>
      </c>
      <c r="K320" s="18">
        <f>4745</f>
        <v>4745</v>
      </c>
      <c r="L320" s="19">
        <f t="shared" si="16"/>
        <v>156819.34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516</v>
      </c>
      <c r="G321" s="18">
        <v>123.22</v>
      </c>
      <c r="H321" s="18">
        <v>19850.09</v>
      </c>
      <c r="I321" s="18"/>
      <c r="J321" s="18"/>
      <c r="K321" s="18"/>
      <c r="L321" s="19">
        <f t="shared" si="16"/>
        <v>20489.310000000001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f>4321.34+6081.93</f>
        <v>10403.27</v>
      </c>
      <c r="L323" s="19">
        <f t="shared" si="16"/>
        <v>10403.27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2126.5700000000002</v>
      </c>
      <c r="G324" s="18">
        <v>173.94</v>
      </c>
      <c r="H324" s="18">
        <v>22278.18</v>
      </c>
      <c r="I324" s="18"/>
      <c r="J324" s="18"/>
      <c r="K324" s="18"/>
      <c r="L324" s="19">
        <f t="shared" si="16"/>
        <v>24578.690000000002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f>1653.34+1290</f>
        <v>2943.34</v>
      </c>
      <c r="I325" s="18"/>
      <c r="J325" s="18"/>
      <c r="K325" s="18"/>
      <c r="L325" s="19">
        <f t="shared" si="16"/>
        <v>2943.34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262573.39</v>
      </c>
      <c r="G328" s="42">
        <f t="shared" si="17"/>
        <v>104725.02</v>
      </c>
      <c r="H328" s="42">
        <f t="shared" si="17"/>
        <v>309848.93000000005</v>
      </c>
      <c r="I328" s="42">
        <f t="shared" si="17"/>
        <v>13650.45</v>
      </c>
      <c r="J328" s="42">
        <f t="shared" si="17"/>
        <v>108083.03</v>
      </c>
      <c r="K328" s="42">
        <f t="shared" si="17"/>
        <v>20080.310000000001</v>
      </c>
      <c r="L328" s="41">
        <f t="shared" si="17"/>
        <v>818961.13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v>6376.75</v>
      </c>
      <c r="I332" s="18"/>
      <c r="J332" s="18"/>
      <c r="K332" s="18"/>
      <c r="L332" s="19">
        <f t="shared" ref="L332:L337" si="18">SUM(F332:K332)</f>
        <v>6376.75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291516.34000000003</v>
      </c>
      <c r="G333" s="18">
        <v>94359.59</v>
      </c>
      <c r="H333" s="18">
        <v>56346.39</v>
      </c>
      <c r="I333" s="18">
        <v>11362.62</v>
      </c>
      <c r="J333" s="18">
        <v>7646.08</v>
      </c>
      <c r="K333" s="18">
        <v>11004.57</v>
      </c>
      <c r="L333" s="19">
        <f t="shared" si="18"/>
        <v>472235.59000000008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>
        <v>292445.71999999997</v>
      </c>
      <c r="K336" s="18"/>
      <c r="L336" s="19">
        <f t="shared" si="18"/>
        <v>292445.71999999997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291516.34000000003</v>
      </c>
      <c r="G337" s="41">
        <f t="shared" si="19"/>
        <v>94359.59</v>
      </c>
      <c r="H337" s="41">
        <f t="shared" si="19"/>
        <v>62723.14</v>
      </c>
      <c r="I337" s="41">
        <f t="shared" si="19"/>
        <v>11362.62</v>
      </c>
      <c r="J337" s="41">
        <f t="shared" si="19"/>
        <v>300091.8</v>
      </c>
      <c r="K337" s="41">
        <f t="shared" si="19"/>
        <v>11004.57</v>
      </c>
      <c r="L337" s="41">
        <f t="shared" si="18"/>
        <v>771058.05999999994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1358121.76</v>
      </c>
      <c r="G338" s="41">
        <f t="shared" si="20"/>
        <v>456311.53</v>
      </c>
      <c r="H338" s="41">
        <f t="shared" si="20"/>
        <v>541766.57000000007</v>
      </c>
      <c r="I338" s="41">
        <f t="shared" si="20"/>
        <v>76629.210000000006</v>
      </c>
      <c r="J338" s="41">
        <f t="shared" si="20"/>
        <v>466750.08999999997</v>
      </c>
      <c r="K338" s="41">
        <f t="shared" si="20"/>
        <v>84218.739999999991</v>
      </c>
      <c r="L338" s="41">
        <f t="shared" si="20"/>
        <v>2983797.9000000004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1358121.76</v>
      </c>
      <c r="G352" s="41">
        <f>G338</f>
        <v>456311.53</v>
      </c>
      <c r="H352" s="41">
        <f>H338</f>
        <v>541766.57000000007</v>
      </c>
      <c r="I352" s="41">
        <f>I338</f>
        <v>76629.210000000006</v>
      </c>
      <c r="J352" s="41">
        <f>J338</f>
        <v>466750.08999999997</v>
      </c>
      <c r="K352" s="47">
        <f>K338+K351</f>
        <v>84218.739999999991</v>
      </c>
      <c r="L352" s="41">
        <f>L338+L351</f>
        <v>2983797.9000000004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164996.91</v>
      </c>
      <c r="G358" s="18">
        <v>39285.82</v>
      </c>
      <c r="H358" s="18">
        <v>2272.94</v>
      </c>
      <c r="I358" s="18">
        <v>45804.61</v>
      </c>
      <c r="J358" s="18">
        <v>3990</v>
      </c>
      <c r="K358" s="18"/>
      <c r="L358" s="13">
        <f>SUM(F358:K358)</f>
        <v>256350.28000000003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64374.93</v>
      </c>
      <c r="G359" s="18">
        <v>25381.48</v>
      </c>
      <c r="H359" s="18">
        <v>106.99</v>
      </c>
      <c r="I359" s="18">
        <v>362064.57</v>
      </c>
      <c r="J359" s="18">
        <v>444.96</v>
      </c>
      <c r="K359" s="18">
        <v>75</v>
      </c>
      <c r="L359" s="19">
        <f>SUM(F359:K359)</f>
        <v>452447.93000000005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283546.95</v>
      </c>
      <c r="G360" s="18">
        <v>113535.92</v>
      </c>
      <c r="H360" s="18">
        <v>16552.59</v>
      </c>
      <c r="I360" s="18">
        <v>324517.08</v>
      </c>
      <c r="J360" s="18">
        <v>1544.7</v>
      </c>
      <c r="K360" s="18">
        <v>966.69</v>
      </c>
      <c r="L360" s="19">
        <f>SUM(F360:K360)</f>
        <v>740663.92999999993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512918.79000000004</v>
      </c>
      <c r="G362" s="47">
        <f t="shared" si="22"/>
        <v>178203.22</v>
      </c>
      <c r="H362" s="47">
        <f t="shared" si="22"/>
        <v>18932.52</v>
      </c>
      <c r="I362" s="47">
        <f t="shared" si="22"/>
        <v>732386.26</v>
      </c>
      <c r="J362" s="47">
        <f t="shared" si="22"/>
        <v>5979.66</v>
      </c>
      <c r="K362" s="47">
        <f t="shared" si="22"/>
        <v>1041.69</v>
      </c>
      <c r="L362" s="47">
        <f t="shared" si="22"/>
        <v>1449462.1400000001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44592.95</v>
      </c>
      <c r="G367" s="18">
        <f>345172.35+1751.25</f>
        <v>346923.6</v>
      </c>
      <c r="H367" s="18">
        <f>301979.35+3007.5</f>
        <v>304986.84999999998</v>
      </c>
      <c r="I367" s="56">
        <f>SUM(F367:H367)</f>
        <v>696503.39999999991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125.81+1085.85</f>
        <v>1211.6599999999999</v>
      </c>
      <c r="G368" s="63">
        <v>15140.97</v>
      </c>
      <c r="H368" s="63">
        <v>19530.23</v>
      </c>
      <c r="I368" s="56">
        <f>SUM(F368:H368)</f>
        <v>35882.86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45804.61</v>
      </c>
      <c r="G369" s="47">
        <f>SUM(G367:G368)</f>
        <v>362064.56999999995</v>
      </c>
      <c r="H369" s="47">
        <f>SUM(H367:H368)</f>
        <v>324517.07999999996</v>
      </c>
      <c r="I369" s="47">
        <f>SUM(I367:I368)</f>
        <v>732386.25999999989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41596.29</v>
      </c>
      <c r="I378" s="18"/>
      <c r="J378" s="18">
        <v>6839.15</v>
      </c>
      <c r="K378" s="18"/>
      <c r="L378" s="13">
        <f t="shared" si="23"/>
        <v>48435.44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>
        <v>12183</v>
      </c>
      <c r="K380" s="18"/>
      <c r="L380" s="13">
        <f t="shared" si="23"/>
        <v>12183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20510.47</v>
      </c>
      <c r="L381" s="13">
        <f t="shared" si="23"/>
        <v>20510.47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41596.29</v>
      </c>
      <c r="I382" s="41">
        <f t="shared" si="24"/>
        <v>0</v>
      </c>
      <c r="J382" s="47">
        <f t="shared" si="24"/>
        <v>19022.150000000001</v>
      </c>
      <c r="K382" s="47">
        <f t="shared" si="24"/>
        <v>20510.47</v>
      </c>
      <c r="L382" s="47">
        <f t="shared" si="24"/>
        <v>81128.91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100000</v>
      </c>
      <c r="H396" s="18">
        <f>154.17+6.11</f>
        <v>160.28</v>
      </c>
      <c r="I396" s="18"/>
      <c r="J396" s="24" t="s">
        <v>289</v>
      </c>
      <c r="K396" s="24" t="s">
        <v>289</v>
      </c>
      <c r="L396" s="56">
        <f t="shared" si="26"/>
        <v>100160.28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160.28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100160.28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160.28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100160.28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12455</v>
      </c>
      <c r="L426" s="56">
        <f t="shared" si="29"/>
        <v>12455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12455</v>
      </c>
      <c r="L427" s="47">
        <f t="shared" si="30"/>
        <v>12455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12455</v>
      </c>
      <c r="L434" s="47">
        <f t="shared" si="32"/>
        <v>12455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431680.17+5901.11</f>
        <v>437581.27999999997</v>
      </c>
      <c r="H439" s="18"/>
      <c r="I439" s="56">
        <f t="shared" ref="I439:I445" si="33">SUM(F439:H439)</f>
        <v>437581.27999999997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437581.27999999997</v>
      </c>
      <c r="H446" s="13">
        <f>SUM(H439:H445)</f>
        <v>0</v>
      </c>
      <c r="I446" s="13">
        <f>SUM(I439:I445)</f>
        <v>437581.27999999997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437581.28</v>
      </c>
      <c r="H459" s="18"/>
      <c r="I459" s="56">
        <f t="shared" si="34"/>
        <v>437581.28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437581.28</v>
      </c>
      <c r="H460" s="83">
        <f>SUM(H454:H459)</f>
        <v>0</v>
      </c>
      <c r="I460" s="83">
        <f>SUM(I454:I459)</f>
        <v>437581.28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437581.28</v>
      </c>
      <c r="H461" s="42">
        <f>H452+H460</f>
        <v>0</v>
      </c>
      <c r="I461" s="42">
        <f>I452+I460</f>
        <v>437581.28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2359805.56</v>
      </c>
      <c r="G465" s="18">
        <v>190927.32</v>
      </c>
      <c r="H465" s="18">
        <v>548490.99</v>
      </c>
      <c r="I465" s="18">
        <v>397511.12</v>
      </c>
      <c r="J465" s="18">
        <v>349876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58779153.549999997</v>
      </c>
      <c r="G468" s="18">
        <v>1469893.77</v>
      </c>
      <c r="H468" s="18">
        <f>2059914.33+136370.89+548958.53</f>
        <v>2745243.75</v>
      </c>
      <c r="I468" s="18">
        <v>12455</v>
      </c>
      <c r="J468" s="18">
        <f>100000+154.17+6.11</f>
        <v>100160.28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>
        <f>8091+22.8</f>
        <v>8113.8</v>
      </c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58779153.549999997</v>
      </c>
      <c r="G470" s="53">
        <f>SUM(G468:G469)</f>
        <v>1469893.77</v>
      </c>
      <c r="H470" s="53">
        <f>SUM(H468:H469)</f>
        <v>2753357.55</v>
      </c>
      <c r="I470" s="53">
        <f>SUM(I468:I469)</f>
        <v>12455</v>
      </c>
      <c r="J470" s="53">
        <f>SUM(J468:J469)</f>
        <v>100160.28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57846415.719999999</v>
      </c>
      <c r="G472" s="18">
        <v>1449462.14</v>
      </c>
      <c r="H472" s="18">
        <f>2059914.33+385494.93+538388.64</f>
        <v>2983797.9000000004</v>
      </c>
      <c r="I472" s="18">
        <v>81128.91</v>
      </c>
      <c r="J472" s="18">
        <v>12455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57846415.719999999</v>
      </c>
      <c r="G474" s="53">
        <f>SUM(G472:G473)</f>
        <v>1449462.14</v>
      </c>
      <c r="H474" s="53">
        <f>SUM(H472:H473)</f>
        <v>2983797.9000000004</v>
      </c>
      <c r="I474" s="53">
        <f>SUM(I472:I473)</f>
        <v>81128.91</v>
      </c>
      <c r="J474" s="53">
        <f>SUM(J472:J473)</f>
        <v>12455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3292543.3900000006</v>
      </c>
      <c r="G476" s="53">
        <f>(G465+G470)- G474</f>
        <v>211358.95000000019</v>
      </c>
      <c r="H476" s="53">
        <f>(H465+H470)- H474</f>
        <v>318050.63999999966</v>
      </c>
      <c r="I476" s="53">
        <f>(I465+I470)- I474</f>
        <v>328837.20999999996</v>
      </c>
      <c r="J476" s="53">
        <f>(J465+J470)- J474</f>
        <v>437581.28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10</v>
      </c>
      <c r="H490" s="154">
        <v>29</v>
      </c>
      <c r="I490" s="154">
        <v>29</v>
      </c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913</v>
      </c>
      <c r="H491" s="155" t="s">
        <v>914</v>
      </c>
      <c r="I491" s="155" t="s">
        <v>914</v>
      </c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916</v>
      </c>
      <c r="G492" s="155" t="s">
        <v>915</v>
      </c>
      <c r="H492" s="155" t="s">
        <v>917</v>
      </c>
      <c r="I492" s="155" t="s">
        <v>918</v>
      </c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17500000</v>
      </c>
      <c r="G493" s="18">
        <v>1225000</v>
      </c>
      <c r="H493" s="18">
        <v>35115529.659999996</v>
      </c>
      <c r="I493" s="18">
        <v>1817970.34</v>
      </c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</v>
      </c>
      <c r="G494" s="18">
        <v>3.79</v>
      </c>
      <c r="H494" s="18">
        <v>4.4400000000000004</v>
      </c>
      <c r="I494" s="18">
        <v>4.4400000000000004</v>
      </c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5250000</v>
      </c>
      <c r="G495" s="18">
        <v>360000</v>
      </c>
      <c r="H495" s="18">
        <v>28130402.25</v>
      </c>
      <c r="I495" s="18">
        <v>1456342.45</v>
      </c>
      <c r="J495" s="18"/>
      <c r="K495" s="53">
        <f>SUM(F495:J495)</f>
        <v>35196744.700000003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875000</v>
      </c>
      <c r="G497" s="18">
        <v>120000</v>
      </c>
      <c r="H497" s="18">
        <f>1218627.85+623829.26</f>
        <v>1842457.11</v>
      </c>
      <c r="I497" s="18">
        <f>63089.73+32296.34</f>
        <v>95386.07</v>
      </c>
      <c r="J497" s="18"/>
      <c r="K497" s="53">
        <f t="shared" si="35"/>
        <v>2932843.18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4375000</v>
      </c>
      <c r="G498" s="204">
        <v>240000</v>
      </c>
      <c r="H498" s="204">
        <v>26287945.140000001</v>
      </c>
      <c r="I498" s="204">
        <v>1360956.38</v>
      </c>
      <c r="J498" s="204"/>
      <c r="K498" s="205">
        <f t="shared" si="35"/>
        <v>32263901.52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574218.75</v>
      </c>
      <c r="G499" s="18">
        <v>9120</v>
      </c>
      <c r="H499" s="18">
        <v>29971366.010000002</v>
      </c>
      <c r="I499" s="18">
        <v>1551651.22</v>
      </c>
      <c r="J499" s="18"/>
      <c r="K499" s="53">
        <f t="shared" si="35"/>
        <v>32106355.98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4949218.75</v>
      </c>
      <c r="G500" s="42">
        <f>SUM(G498:G499)</f>
        <v>249120</v>
      </c>
      <c r="H500" s="42">
        <f>SUM(H498:H499)</f>
        <v>56259311.150000006</v>
      </c>
      <c r="I500" s="42">
        <f>SUM(I498:I499)</f>
        <v>2912607.5999999996</v>
      </c>
      <c r="J500" s="42">
        <f>SUM(J498:J499)</f>
        <v>0</v>
      </c>
      <c r="K500" s="42">
        <f t="shared" si="35"/>
        <v>64370257.500000007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875000</v>
      </c>
      <c r="G501" s="204">
        <v>120000</v>
      </c>
      <c r="H501" s="204">
        <f>1170030.56+586720.94</f>
        <v>1756751.5</v>
      </c>
      <c r="I501" s="204">
        <f>60573.79+30375.2</f>
        <v>90948.99</v>
      </c>
      <c r="J501" s="204"/>
      <c r="K501" s="205">
        <f t="shared" si="35"/>
        <v>2842700.49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206718.75</v>
      </c>
      <c r="G502" s="18">
        <f>4560+2280</f>
        <v>6840</v>
      </c>
      <c r="H502" s="18">
        <f>317668.35+177198.83</f>
        <v>494867.17999999993</v>
      </c>
      <c r="I502" s="18">
        <f>16446.05+9173.78</f>
        <v>25619.83</v>
      </c>
      <c r="J502" s="18"/>
      <c r="K502" s="53">
        <f t="shared" si="35"/>
        <v>734045.75999999989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1081718.75</v>
      </c>
      <c r="G503" s="42">
        <f>SUM(G501:G502)</f>
        <v>126840</v>
      </c>
      <c r="H503" s="42">
        <f>SUM(H501:H502)</f>
        <v>2251618.6799999997</v>
      </c>
      <c r="I503" s="42">
        <f>SUM(I501:I502)</f>
        <v>116568.82</v>
      </c>
      <c r="J503" s="42">
        <f>SUM(J501:J502)</f>
        <v>0</v>
      </c>
      <c r="K503" s="42">
        <f t="shared" si="35"/>
        <v>3576746.2499999995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3212371.34</v>
      </c>
      <c r="G521" s="18">
        <v>1164454.06</v>
      </c>
      <c r="H521" s="18">
        <f>598618.38+6376.75</f>
        <v>604995.13</v>
      </c>
      <c r="I521" s="18">
        <v>36328.660000000003</v>
      </c>
      <c r="J521" s="18">
        <v>6021.14</v>
      </c>
      <c r="K521" s="18"/>
      <c r="L521" s="88">
        <f>SUM(F521:K521)</f>
        <v>5024170.33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1046692.62</v>
      </c>
      <c r="G522" s="18">
        <v>470153.09</v>
      </c>
      <c r="H522" s="18">
        <v>451753.59</v>
      </c>
      <c r="I522" s="18">
        <v>12299.86</v>
      </c>
      <c r="J522" s="18">
        <v>1208.51</v>
      </c>
      <c r="K522" s="18"/>
      <c r="L522" s="88">
        <f>SUM(F522:K522)</f>
        <v>1982107.6700000002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1901178.19</v>
      </c>
      <c r="G523" s="18">
        <v>822360.06</v>
      </c>
      <c r="H523" s="18">
        <v>1105825.83</v>
      </c>
      <c r="I523" s="18">
        <v>14422.51</v>
      </c>
      <c r="J523" s="18">
        <v>2127.66</v>
      </c>
      <c r="K523" s="18"/>
      <c r="L523" s="88">
        <f>SUM(F523:K523)</f>
        <v>3845914.25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6160242.1500000004</v>
      </c>
      <c r="G524" s="108">
        <f t="shared" ref="G524:L524" si="36">SUM(G521:G523)</f>
        <v>2456967.21</v>
      </c>
      <c r="H524" s="108">
        <f t="shared" si="36"/>
        <v>2162574.5499999998</v>
      </c>
      <c r="I524" s="108">
        <f t="shared" si="36"/>
        <v>63051.030000000006</v>
      </c>
      <c r="J524" s="108">
        <f t="shared" si="36"/>
        <v>9357.3100000000013</v>
      </c>
      <c r="K524" s="108">
        <f t="shared" si="36"/>
        <v>0</v>
      </c>
      <c r="L524" s="89">
        <f t="shared" si="36"/>
        <v>10852192.25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17563.68+295768.61+707042.03+251509.34+15320.67+88705.4+64529.95</f>
        <v>1440439.68</v>
      </c>
      <c r="G526" s="18">
        <f>1436.8+125126.35+323585.73+114138.27+8511.64+45413.81+32518.85</f>
        <v>650731.45000000007</v>
      </c>
      <c r="H526" s="18">
        <f>2116.57+175+1756.15+24987.15+3876+1000+28689.08+34995.6+18126.69</f>
        <v>115722.24000000001</v>
      </c>
      <c r="I526" s="18">
        <f>7538.36+1967.98+2209.75</f>
        <v>11716.09</v>
      </c>
      <c r="J526" s="18"/>
      <c r="K526" s="18">
        <f>577.25</f>
        <v>577.25</v>
      </c>
      <c r="L526" s="88">
        <f>SUM(F526:K526)</f>
        <v>2219186.71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137862.92+28065.69+23779.1+63663.06</f>
        <v>253370.77000000002</v>
      </c>
      <c r="G527" s="18">
        <f>62132.43+12096.06+12547.94+27771.22</f>
        <v>114547.65000000001</v>
      </c>
      <c r="H527" s="18">
        <f>2035+3837.5+8126.61+18469.9+2055.36</f>
        <v>34524.370000000003</v>
      </c>
      <c r="I527" s="18">
        <f>520.49+126+180.2+517.81</f>
        <v>1344.5</v>
      </c>
      <c r="J527" s="18"/>
      <c r="K527" s="18"/>
      <c r="L527" s="88">
        <f>SUM(F527:K527)</f>
        <v>403787.29000000004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31256.42+1777.5+105129.83+49050.03+35668.88+192040.06+36288.6</f>
        <v>451211.31999999995</v>
      </c>
      <c r="G528" s="18">
        <f>2556.58+397.08+32873.03+19261.9+2917.72+75335.07+20052.72</f>
        <v>153394.1</v>
      </c>
      <c r="H528" s="18">
        <f>1492+19359.36+3131.25+115375+13311.9+43744.5</f>
        <v>196414.00999999998</v>
      </c>
      <c r="I528" s="18">
        <f>1148.41+388.17+111.75+1113.26</f>
        <v>2761.59</v>
      </c>
      <c r="J528" s="18"/>
      <c r="K528" s="18">
        <v>399</v>
      </c>
      <c r="L528" s="88">
        <f>SUM(F528:K528)</f>
        <v>804180.0199999999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2145021.77</v>
      </c>
      <c r="G529" s="89">
        <f t="shared" ref="G529:L529" si="37">SUM(G526:G528)</f>
        <v>918673.20000000007</v>
      </c>
      <c r="H529" s="89">
        <f t="shared" si="37"/>
        <v>346660.62</v>
      </c>
      <c r="I529" s="89">
        <f t="shared" si="37"/>
        <v>15822.18</v>
      </c>
      <c r="J529" s="89">
        <f t="shared" si="37"/>
        <v>0</v>
      </c>
      <c r="K529" s="89">
        <f t="shared" si="37"/>
        <v>976.25</v>
      </c>
      <c r="L529" s="89">
        <f t="shared" si="37"/>
        <v>3427154.02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154905.76999999999</v>
      </c>
      <c r="G531" s="18">
        <v>68721.919999999998</v>
      </c>
      <c r="H531" s="18">
        <f>3757.42+7104</f>
        <v>10861.42</v>
      </c>
      <c r="I531" s="18">
        <v>1168.26</v>
      </c>
      <c r="J531" s="18">
        <v>729</v>
      </c>
      <c r="K531" s="18">
        <f>488+20479.19</f>
        <v>20967.189999999999</v>
      </c>
      <c r="L531" s="88">
        <f>SUM(F531:K531)</f>
        <v>257353.56000000003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69756.88</v>
      </c>
      <c r="G532" s="18">
        <v>33684.92</v>
      </c>
      <c r="H532" s="18">
        <v>3840</v>
      </c>
      <c r="I532" s="18"/>
      <c r="J532" s="18"/>
      <c r="K532" s="18"/>
      <c r="L532" s="88">
        <f>SUM(F532:K532)</f>
        <v>107281.8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104685.14</v>
      </c>
      <c r="G533" s="18">
        <v>36607.25</v>
      </c>
      <c r="H533" s="18">
        <v>8256</v>
      </c>
      <c r="I533" s="18"/>
      <c r="J533" s="18"/>
      <c r="K533" s="18"/>
      <c r="L533" s="88">
        <f>SUM(F533:K533)</f>
        <v>149548.39000000001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329347.78999999998</v>
      </c>
      <c r="G534" s="89">
        <f t="shared" ref="G534:L534" si="38">SUM(G531:G533)</f>
        <v>139014.09</v>
      </c>
      <c r="H534" s="89">
        <f t="shared" si="38"/>
        <v>22957.42</v>
      </c>
      <c r="I534" s="89">
        <f t="shared" si="38"/>
        <v>1168.26</v>
      </c>
      <c r="J534" s="89">
        <f t="shared" si="38"/>
        <v>729</v>
      </c>
      <c r="K534" s="89">
        <f t="shared" si="38"/>
        <v>20967.189999999999</v>
      </c>
      <c r="L534" s="89">
        <f t="shared" si="38"/>
        <v>514183.75000000006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21354.87</v>
      </c>
      <c r="I538" s="18"/>
      <c r="J538" s="18"/>
      <c r="K538" s="18"/>
      <c r="L538" s="88">
        <f>SUM(F538:K538)</f>
        <v>21354.87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21354.87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21354.87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341191.28</v>
      </c>
      <c r="I541" s="18"/>
      <c r="J541" s="18"/>
      <c r="K541" s="18"/>
      <c r="L541" s="88">
        <f>SUM(F541:K541)</f>
        <v>341191.28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171430</v>
      </c>
      <c r="I542" s="18"/>
      <c r="J542" s="18"/>
      <c r="K542" s="18"/>
      <c r="L542" s="88">
        <f>SUM(F542:K542)</f>
        <v>171430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278812.25+2236.92</f>
        <v>281049.17</v>
      </c>
      <c r="I543" s="18"/>
      <c r="J543" s="18"/>
      <c r="K543" s="18"/>
      <c r="L543" s="88">
        <f>SUM(F543:K543)</f>
        <v>281049.17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793670.45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793670.45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8634611.709999999</v>
      </c>
      <c r="G545" s="89">
        <f t="shared" ref="G545:L545" si="41">G524+G529+G534+G539+G544</f>
        <v>3514654.5</v>
      </c>
      <c r="H545" s="89">
        <f t="shared" si="41"/>
        <v>3347217.91</v>
      </c>
      <c r="I545" s="89">
        <f t="shared" si="41"/>
        <v>80041.47</v>
      </c>
      <c r="J545" s="89">
        <f t="shared" si="41"/>
        <v>10086.310000000001</v>
      </c>
      <c r="K545" s="89">
        <f t="shared" si="41"/>
        <v>21943.439999999999</v>
      </c>
      <c r="L545" s="89">
        <f t="shared" si="41"/>
        <v>15608555.339999998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5024170.33</v>
      </c>
      <c r="G549" s="87">
        <f>L526</f>
        <v>2219186.71</v>
      </c>
      <c r="H549" s="87">
        <f>L531</f>
        <v>257353.56000000003</v>
      </c>
      <c r="I549" s="87">
        <f>L536</f>
        <v>0</v>
      </c>
      <c r="J549" s="87">
        <f>L541</f>
        <v>341191.28</v>
      </c>
      <c r="K549" s="87">
        <f>SUM(F549:J549)</f>
        <v>7841901.8799999999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1982107.6700000002</v>
      </c>
      <c r="G550" s="87">
        <f>L527</f>
        <v>403787.29000000004</v>
      </c>
      <c r="H550" s="87">
        <f>L532</f>
        <v>107281.8</v>
      </c>
      <c r="I550" s="87">
        <f>L537</f>
        <v>0</v>
      </c>
      <c r="J550" s="87">
        <f>L542</f>
        <v>171430</v>
      </c>
      <c r="K550" s="87">
        <f>SUM(F550:J550)</f>
        <v>2664606.7599999998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3845914.25</v>
      </c>
      <c r="G551" s="87">
        <f>L528</f>
        <v>804180.0199999999</v>
      </c>
      <c r="H551" s="87">
        <f>L533</f>
        <v>149548.39000000001</v>
      </c>
      <c r="I551" s="87">
        <f>L538</f>
        <v>21354.87</v>
      </c>
      <c r="J551" s="87">
        <f>L543</f>
        <v>281049.17</v>
      </c>
      <c r="K551" s="87">
        <f>SUM(F551:J551)</f>
        <v>5102046.6999999993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10852192.25</v>
      </c>
      <c r="G552" s="89">
        <f t="shared" si="42"/>
        <v>3427154.02</v>
      </c>
      <c r="H552" s="89">
        <f t="shared" si="42"/>
        <v>514183.75000000006</v>
      </c>
      <c r="I552" s="89">
        <f t="shared" si="42"/>
        <v>21354.87</v>
      </c>
      <c r="J552" s="89">
        <f t="shared" si="42"/>
        <v>793670.45</v>
      </c>
      <c r="K552" s="89">
        <f t="shared" si="42"/>
        <v>15608555.34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111621.73</v>
      </c>
      <c r="G562" s="18">
        <f>19215.6+1600+186.56+381.94+8097.24+15451.85+591.63</f>
        <v>45524.819999999992</v>
      </c>
      <c r="H562" s="18">
        <v>743.53</v>
      </c>
      <c r="I562" s="18">
        <f>333.29+614.83+27.55</f>
        <v>975.67000000000007</v>
      </c>
      <c r="J562" s="18">
        <v>91.99</v>
      </c>
      <c r="K562" s="18"/>
      <c r="L562" s="88">
        <f>SUM(F562:K562)</f>
        <v>158957.74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111621.73</v>
      </c>
      <c r="G565" s="89">
        <f t="shared" si="44"/>
        <v>45524.819999999992</v>
      </c>
      <c r="H565" s="89">
        <f t="shared" si="44"/>
        <v>743.53</v>
      </c>
      <c r="I565" s="89">
        <f t="shared" si="44"/>
        <v>975.67000000000007</v>
      </c>
      <c r="J565" s="89">
        <f t="shared" si="44"/>
        <v>91.99</v>
      </c>
      <c r="K565" s="89">
        <f t="shared" si="44"/>
        <v>0</v>
      </c>
      <c r="L565" s="89">
        <f t="shared" si="44"/>
        <v>158957.74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39250.120000000003</v>
      </c>
      <c r="G568" s="18">
        <f>12474.2+800+67.08+137.28+2862.72+4636.38+208</f>
        <v>21185.66</v>
      </c>
      <c r="H568" s="18"/>
      <c r="I568" s="18"/>
      <c r="J568" s="18"/>
      <c r="K568" s="18"/>
      <c r="L568" s="88">
        <f>SUM(F568:K568)</f>
        <v>60435.78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39250.120000000003</v>
      </c>
      <c r="G570" s="193">
        <f t="shared" ref="G570:L570" si="45">SUM(G567:G569)</f>
        <v>21185.66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60435.78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150871.85</v>
      </c>
      <c r="G571" s="89">
        <f t="shared" ref="G571:L571" si="46">G560+G565+G570</f>
        <v>66710.48</v>
      </c>
      <c r="H571" s="89">
        <f t="shared" si="46"/>
        <v>743.53</v>
      </c>
      <c r="I571" s="89">
        <f t="shared" si="46"/>
        <v>975.67000000000007</v>
      </c>
      <c r="J571" s="89">
        <f t="shared" si="46"/>
        <v>91.99</v>
      </c>
      <c r="K571" s="89">
        <f t="shared" si="46"/>
        <v>0</v>
      </c>
      <c r="L571" s="89">
        <f t="shared" si="46"/>
        <v>219393.52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105117.24</v>
      </c>
      <c r="G575" s="18">
        <v>16420.86</v>
      </c>
      <c r="H575" s="18">
        <v>38689.69</v>
      </c>
      <c r="I575" s="87">
        <f>SUM(F575:H575)</f>
        <v>160227.79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291760.74</v>
      </c>
      <c r="G576" s="18">
        <v>73762.48</v>
      </c>
      <c r="H576" s="18">
        <v>437247.23</v>
      </c>
      <c r="I576" s="87">
        <f t="shared" ref="I576:I587" si="47">SUM(F576:H576)</f>
        <v>802770.45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199226.81</v>
      </c>
      <c r="G582" s="18">
        <v>359700.46</v>
      </c>
      <c r="H582" s="18">
        <v>572137.56000000006</v>
      </c>
      <c r="I582" s="87">
        <f t="shared" si="47"/>
        <v>1131064.83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3173.46</v>
      </c>
      <c r="I584" s="87">
        <f t="shared" si="47"/>
        <v>3173.46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328828.96000000002</v>
      </c>
      <c r="I591" s="18">
        <v>168425.60000000001</v>
      </c>
      <c r="J591" s="18">
        <v>362115.04</v>
      </c>
      <c r="K591" s="104">
        <f t="shared" ref="K591:K597" si="48">SUM(H591:J591)</f>
        <v>859369.60000000009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341191.28</v>
      </c>
      <c r="I592" s="18">
        <v>171430</v>
      </c>
      <c r="J592" s="18">
        <f>278812.25+1550+686.92</f>
        <v>281049.17</v>
      </c>
      <c r="K592" s="104">
        <f t="shared" si="48"/>
        <v>793670.45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2553.19</v>
      </c>
      <c r="K593" s="104">
        <f t="shared" si="48"/>
        <v>2553.19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17468</v>
      </c>
      <c r="J594" s="18">
        <v>134335</v>
      </c>
      <c r="K594" s="104">
        <f t="shared" si="48"/>
        <v>151803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19756.48</v>
      </c>
      <c r="I595" s="18">
        <v>8208.41</v>
      </c>
      <c r="J595" s="18">
        <f>12915.55-1550-686.92</f>
        <v>10678.63</v>
      </c>
      <c r="K595" s="104">
        <f t="shared" si="48"/>
        <v>38643.519999999997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>
        <v>2670.15</v>
      </c>
      <c r="J597" s="18"/>
      <c r="K597" s="104">
        <f t="shared" si="48"/>
        <v>2670.15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689776.72</v>
      </c>
      <c r="I598" s="108">
        <f>SUM(I591:I597)</f>
        <v>368202.16</v>
      </c>
      <c r="J598" s="108">
        <f>SUM(J591:J597)</f>
        <v>790731.02999999991</v>
      </c>
      <c r="K598" s="108">
        <f>SUM(K591:K597)</f>
        <v>1848709.91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16353.63</v>
      </c>
      <c r="I603" s="18">
        <v>8839.7999999999993</v>
      </c>
      <c r="J603" s="18">
        <v>19005.57</v>
      </c>
      <c r="K603" s="104">
        <f>SUM(H603:J603)</f>
        <v>44199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68355.35+1799.87+47597.01+1673.48+1577.52+63456.64+365.67</f>
        <v>184825.54</v>
      </c>
      <c r="I604" s="18">
        <f>60704.11+60+4854.2+6324.57+30390.62+49.61</f>
        <v>102383.11</v>
      </c>
      <c r="J604" s="18">
        <f>81435.71+379.2+5000+2266.88+167595.64+24702.79+95949.97+23721.56+409.99+73796.86+11698.73</f>
        <v>486957.33</v>
      </c>
      <c r="K604" s="104">
        <f>SUM(H604:J604)</f>
        <v>774165.98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201179.17</v>
      </c>
      <c r="I605" s="108">
        <f>SUM(I602:I604)</f>
        <v>111222.91</v>
      </c>
      <c r="J605" s="108">
        <f>SUM(J602:J604)</f>
        <v>505962.9</v>
      </c>
      <c r="K605" s="108">
        <f>SUM(K602:K604)</f>
        <v>818364.98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30162.25+3400</f>
        <v>33562.25</v>
      </c>
      <c r="G611" s="18">
        <f>2567.52+4056.46+177.91</f>
        <v>6801.8899999999994</v>
      </c>
      <c r="H611" s="18">
        <f>68.6+1207.65</f>
        <v>1276.25</v>
      </c>
      <c r="I611" s="18"/>
      <c r="J611" s="18"/>
      <c r="K611" s="18"/>
      <c r="L611" s="88">
        <f>SUM(F611:K611)</f>
        <v>41640.39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6252.16</f>
        <v>6252.16</v>
      </c>
      <c r="G612" s="18">
        <f>478.29+849.6+33.13</f>
        <v>1361.0200000000002</v>
      </c>
      <c r="H612" s="18"/>
      <c r="I612" s="18"/>
      <c r="J612" s="18"/>
      <c r="K612" s="18"/>
      <c r="L612" s="88">
        <f>SUM(F612:K612)</f>
        <v>7613.18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2800</f>
        <v>2800</v>
      </c>
      <c r="G613" s="18">
        <f>214.21+396.48+14.85</f>
        <v>625.54000000000008</v>
      </c>
      <c r="H613" s="18"/>
      <c r="I613" s="18">
        <v>770.69</v>
      </c>
      <c r="J613" s="18"/>
      <c r="K613" s="18"/>
      <c r="L613" s="88">
        <f>SUM(F613:K613)</f>
        <v>4196.2299999999996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42614.41</v>
      </c>
      <c r="G614" s="108">
        <f t="shared" si="49"/>
        <v>8788.4500000000007</v>
      </c>
      <c r="H614" s="108">
        <f t="shared" si="49"/>
        <v>1276.25</v>
      </c>
      <c r="I614" s="108">
        <f t="shared" si="49"/>
        <v>770.69</v>
      </c>
      <c r="J614" s="108">
        <f t="shared" si="49"/>
        <v>0</v>
      </c>
      <c r="K614" s="108">
        <f t="shared" si="49"/>
        <v>0</v>
      </c>
      <c r="L614" s="89">
        <f t="shared" si="49"/>
        <v>53449.8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4075007.5299999993</v>
      </c>
      <c r="H617" s="109">
        <f>SUM(F52)</f>
        <v>4075007.5300000003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236467.28</v>
      </c>
      <c r="H618" s="109">
        <f>SUM(G52)</f>
        <v>236467.28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830696.63</v>
      </c>
      <c r="H619" s="109">
        <f>SUM(H52)</f>
        <v>830696.63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328837.21000000002</v>
      </c>
      <c r="H620" s="109">
        <f>SUM(I52)</f>
        <v>328837.21000000002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437581.27999999997</v>
      </c>
      <c r="H621" s="109">
        <f>SUM(J52)</f>
        <v>437581.28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3292543.39</v>
      </c>
      <c r="H622" s="109">
        <f>F476</f>
        <v>3292543.3900000006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211358.95</v>
      </c>
      <c r="H623" s="109">
        <f>G476</f>
        <v>211358.95000000019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318050.64</v>
      </c>
      <c r="H624" s="109">
        <f>H476</f>
        <v>318050.63999999966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328837.21000000002</v>
      </c>
      <c r="H625" s="109">
        <f>I476</f>
        <v>328837.20999999996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437581.28</v>
      </c>
      <c r="H626" s="109">
        <f>J476</f>
        <v>437581.28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58779153.549999997</v>
      </c>
      <c r="H627" s="104">
        <f>SUM(F468)</f>
        <v>58779153.549999997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1469893.77</v>
      </c>
      <c r="H628" s="104">
        <f>SUM(G468)</f>
        <v>1469893.77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2745243.75</v>
      </c>
      <c r="H629" s="104">
        <f>SUM(H468)</f>
        <v>2745243.75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12455</v>
      </c>
      <c r="H630" s="104">
        <f>SUM(I468)</f>
        <v>12455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100160.28</v>
      </c>
      <c r="H631" s="104">
        <f>SUM(J468)</f>
        <v>100160.28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57846415.719999999</v>
      </c>
      <c r="H632" s="104">
        <f>SUM(F472)</f>
        <v>57846415.719999999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2983797.9000000004</v>
      </c>
      <c r="H633" s="104">
        <f>SUM(H472)</f>
        <v>2983797.9000000004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732386.26</v>
      </c>
      <c r="H634" s="104">
        <f>I369</f>
        <v>732386.25999999989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1449462.1400000001</v>
      </c>
      <c r="H635" s="104">
        <f>SUM(G472)</f>
        <v>1449462.14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81128.91</v>
      </c>
      <c r="H636" s="104">
        <f>SUM(I472)</f>
        <v>81128.91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100160.28</v>
      </c>
      <c r="H637" s="164">
        <f>SUM(J468)</f>
        <v>100160.28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12455</v>
      </c>
      <c r="H638" s="164">
        <f>SUM(J472)</f>
        <v>12455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437581.27999999997</v>
      </c>
      <c r="H640" s="104">
        <f>SUM(G461)</f>
        <v>437581.28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437581.27999999997</v>
      </c>
      <c r="H642" s="104">
        <f>SUM(I461)</f>
        <v>437581.28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160.28</v>
      </c>
      <c r="H644" s="104">
        <f>H408</f>
        <v>160.28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100000</v>
      </c>
      <c r="H645" s="104">
        <f>G408</f>
        <v>100000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100160.28</v>
      </c>
      <c r="H646" s="104">
        <f>L408</f>
        <v>100160.28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1848709.91</v>
      </c>
      <c r="H647" s="104">
        <f>L208+L226+L244</f>
        <v>1848709.91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818364.98</v>
      </c>
      <c r="H648" s="104">
        <f>(J257+J338)-(J255+J336)</f>
        <v>818364.98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689776.72</v>
      </c>
      <c r="H649" s="104">
        <f>H598</f>
        <v>689776.72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368202.16</v>
      </c>
      <c r="H650" s="104">
        <f>I598</f>
        <v>368202.16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790731.03</v>
      </c>
      <c r="H651" s="104">
        <f>J598</f>
        <v>790731.02999999991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100000</v>
      </c>
      <c r="H655" s="104">
        <f>K266+K347</f>
        <v>100000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23785701.419999998</v>
      </c>
      <c r="G660" s="19">
        <f>(L229+L309+L359)</f>
        <v>10313852.219999999</v>
      </c>
      <c r="H660" s="19">
        <f>(L247+L328+L360)</f>
        <v>23677537.34</v>
      </c>
      <c r="I660" s="19">
        <f>SUM(F660:H660)</f>
        <v>57777090.980000004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138707.04683092667</v>
      </c>
      <c r="G661" s="19">
        <f>(L359/IF(SUM(L358:L360)=0,1,SUM(L358:L360))*(SUM(G97:G110)))</f>
        <v>244812.3568075129</v>
      </c>
      <c r="H661" s="19">
        <f>(L360/IF(SUM(L358:L360)=0,1,SUM(L358:L360))*(SUM(G97:G110)))</f>
        <v>400761.43636156037</v>
      </c>
      <c r="I661" s="19">
        <f>SUM(F661:H661)</f>
        <v>784280.84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733038.88</v>
      </c>
      <c r="G662" s="19">
        <f>(L226+L306)-(J226+J306)</f>
        <v>368802.16</v>
      </c>
      <c r="H662" s="19">
        <f>(L244+L325)-(J244+J325)</f>
        <v>793674.37</v>
      </c>
      <c r="I662" s="19">
        <f>SUM(F662:H662)</f>
        <v>1895515.4100000001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838924.35000000009</v>
      </c>
      <c r="G663" s="199">
        <f>SUM(G575:G587)+SUM(I602:I604)+L612</f>
        <v>568719.89000000013</v>
      </c>
      <c r="H663" s="199">
        <f>SUM(H575:H587)+SUM(J602:J604)+L613</f>
        <v>1561407.0699999998</v>
      </c>
      <c r="I663" s="19">
        <f>SUM(F663:H663)</f>
        <v>2969051.31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22075031.143169072</v>
      </c>
      <c r="G664" s="19">
        <f>G660-SUM(G661:G663)</f>
        <v>9131517.8131924868</v>
      </c>
      <c r="H664" s="19">
        <f>H660-SUM(H661:H663)</f>
        <v>20921694.46363844</v>
      </c>
      <c r="I664" s="19">
        <f>I660-SUM(I661:I663)</f>
        <v>52128243.420000002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1243.6500000000001</v>
      </c>
      <c r="G665" s="248">
        <v>690.4</v>
      </c>
      <c r="H665" s="248">
        <v>1374.28</v>
      </c>
      <c r="I665" s="19">
        <f>SUM(F665:H665)</f>
        <v>3308.33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17750.2</v>
      </c>
      <c r="G667" s="19">
        <f>ROUND(G664/G665,2)</f>
        <v>13226.42</v>
      </c>
      <c r="H667" s="19">
        <f>ROUND(H664/H665,2)</f>
        <v>15223.75</v>
      </c>
      <c r="I667" s="19">
        <f>ROUND(I664/I665,2)</f>
        <v>15756.66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21.4</v>
      </c>
      <c r="I670" s="19">
        <f>SUM(F670:H670)</f>
        <v>21.4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17750.2</v>
      </c>
      <c r="G672" s="19">
        <f>ROUND((G664+G669)/(G665+G670),2)</f>
        <v>13226.42</v>
      </c>
      <c r="H672" s="19">
        <f>ROUND((H664+H669)/(H665+H670),2)</f>
        <v>14990.32</v>
      </c>
      <c r="I672" s="19">
        <f>ROUND((I664+I669)/(I665+I670),2)</f>
        <v>15655.4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A57" sqref="A5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KEENE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14154906.540000001</v>
      </c>
      <c r="C9" s="229">
        <f>'DOE25'!G197+'DOE25'!G215+'DOE25'!G233+'DOE25'!G276+'DOE25'!G295+'DOE25'!G314</f>
        <v>6160176.3500000006</v>
      </c>
    </row>
    <row r="10" spans="1:3" x14ac:dyDescent="0.2">
      <c r="A10" t="s">
        <v>779</v>
      </c>
      <c r="B10" s="240">
        <v>12387886.66</v>
      </c>
      <c r="C10" s="240">
        <v>5789780.0300000003</v>
      </c>
    </row>
    <row r="11" spans="1:3" x14ac:dyDescent="0.2">
      <c r="A11" t="s">
        <v>780</v>
      </c>
      <c r="B11" s="240">
        <v>601777.31999999995</v>
      </c>
      <c r="C11" s="240">
        <v>281255.26</v>
      </c>
    </row>
    <row r="12" spans="1:3" x14ac:dyDescent="0.2">
      <c r="A12" t="s">
        <v>781</v>
      </c>
      <c r="B12" s="240">
        <v>1165242.56</v>
      </c>
      <c r="C12" s="240">
        <v>89141.06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14154906.540000001</v>
      </c>
      <c r="C13" s="231">
        <f>SUM(C10:C12)</f>
        <v>6160176.3499999996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6311114</v>
      </c>
      <c r="C18" s="229">
        <f>'DOE25'!G198+'DOE25'!G216+'DOE25'!G234+'DOE25'!G277+'DOE25'!G296+'DOE25'!G315</f>
        <v>2523677.6900000004</v>
      </c>
    </row>
    <row r="19" spans="1:3" x14ac:dyDescent="0.2">
      <c r="A19" t="s">
        <v>779</v>
      </c>
      <c r="B19" s="240">
        <v>3225237.84</v>
      </c>
      <c r="C19" s="240">
        <v>1762020.02</v>
      </c>
    </row>
    <row r="20" spans="1:3" x14ac:dyDescent="0.2">
      <c r="A20" t="s">
        <v>780</v>
      </c>
      <c r="B20" s="240">
        <v>1118695.1100000001</v>
      </c>
      <c r="C20" s="240">
        <v>611168.31999999995</v>
      </c>
    </row>
    <row r="21" spans="1:3" x14ac:dyDescent="0.2">
      <c r="A21" t="s">
        <v>781</v>
      </c>
      <c r="B21" s="240">
        <v>1967181.05</v>
      </c>
      <c r="C21" s="240">
        <v>150489.35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6311114</v>
      </c>
      <c r="C22" s="231">
        <f>SUM(C19:C21)</f>
        <v>2523677.69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892516.26</v>
      </c>
      <c r="C27" s="234">
        <f>'DOE25'!G199+'DOE25'!G217+'DOE25'!G235+'DOE25'!G278+'DOE25'!G297+'DOE25'!G316</f>
        <v>432815.30000000005</v>
      </c>
    </row>
    <row r="28" spans="1:3" x14ac:dyDescent="0.2">
      <c r="A28" t="s">
        <v>779</v>
      </c>
      <c r="B28" s="240">
        <v>838669.15</v>
      </c>
      <c r="C28" s="240">
        <v>406702.78</v>
      </c>
    </row>
    <row r="29" spans="1:3" x14ac:dyDescent="0.2">
      <c r="A29" t="s">
        <v>780</v>
      </c>
      <c r="B29" s="240">
        <v>53847.11</v>
      </c>
      <c r="C29" s="240">
        <v>26112.52</v>
      </c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892516.26</v>
      </c>
      <c r="C31" s="231">
        <f>SUM(C28:C30)</f>
        <v>432815.30000000005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437694.38999999996</v>
      </c>
      <c r="C36" s="235">
        <f>'DOE25'!G200+'DOE25'!G218+'DOE25'!G236+'DOE25'!G279+'DOE25'!G298+'DOE25'!G317</f>
        <v>102830.87999999999</v>
      </c>
    </row>
    <row r="37" spans="1:3" x14ac:dyDescent="0.2">
      <c r="A37" t="s">
        <v>779</v>
      </c>
      <c r="B37" s="240">
        <v>329543.46999999997</v>
      </c>
      <c r="C37" s="240">
        <v>77422.16</v>
      </c>
    </row>
    <row r="38" spans="1:3" x14ac:dyDescent="0.2">
      <c r="A38" t="s">
        <v>780</v>
      </c>
      <c r="B38" s="240">
        <v>3400</v>
      </c>
      <c r="C38" s="240">
        <v>798.79</v>
      </c>
    </row>
    <row r="39" spans="1:3" x14ac:dyDescent="0.2">
      <c r="A39" t="s">
        <v>781</v>
      </c>
      <c r="B39" s="240">
        <v>104750.92</v>
      </c>
      <c r="C39" s="240">
        <v>24609.93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437694.38999999996</v>
      </c>
      <c r="C40" s="231">
        <f>SUM(C37:C39)</f>
        <v>102830.88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4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KEENE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33423252.259999998</v>
      </c>
      <c r="D5" s="20">
        <f>SUM('DOE25'!L197:L200)+SUM('DOE25'!L215:L218)+SUM('DOE25'!L233:L236)-F5-G5</f>
        <v>33185187.799999997</v>
      </c>
      <c r="E5" s="243"/>
      <c r="F5" s="255">
        <f>SUM('DOE25'!J197:J200)+SUM('DOE25'!J215:J218)+SUM('DOE25'!J233:J236)</f>
        <v>178622.42</v>
      </c>
      <c r="G5" s="53">
        <f>SUM('DOE25'!K197:K200)+SUM('DOE25'!K215:K218)+SUM('DOE25'!K233:K236)</f>
        <v>59442.04</v>
      </c>
      <c r="H5" s="259"/>
    </row>
    <row r="6" spans="1:9" x14ac:dyDescent="0.2">
      <c r="A6" s="32">
        <v>2100</v>
      </c>
      <c r="B6" t="s">
        <v>801</v>
      </c>
      <c r="C6" s="245">
        <f t="shared" si="0"/>
        <v>5135320.6700000009</v>
      </c>
      <c r="D6" s="20">
        <f>'DOE25'!L202+'DOE25'!L220+'DOE25'!L238-F6-G6</f>
        <v>5134317.7700000005</v>
      </c>
      <c r="E6" s="243"/>
      <c r="F6" s="255">
        <f>'DOE25'!J202+'DOE25'!J220+'DOE25'!J238</f>
        <v>183.9</v>
      </c>
      <c r="G6" s="53">
        <f>'DOE25'!K202+'DOE25'!K220+'DOE25'!K238</f>
        <v>819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1516591.02</v>
      </c>
      <c r="D7" s="20">
        <f>'DOE25'!L203+'DOE25'!L221+'DOE25'!L239-F7-G7</f>
        <v>1500047.78</v>
      </c>
      <c r="E7" s="243"/>
      <c r="F7" s="255">
        <f>'DOE25'!J203+'DOE25'!J221+'DOE25'!J239</f>
        <v>11883.96</v>
      </c>
      <c r="G7" s="53">
        <f>'DOE25'!K203+'DOE25'!K221+'DOE25'!K239</f>
        <v>4659.28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1662563.25</v>
      </c>
      <c r="D8" s="243"/>
      <c r="E8" s="20">
        <f>'DOE25'!L204+'DOE25'!L222+'DOE25'!L240-F8-G8-D9-D11</f>
        <v>1622172.77</v>
      </c>
      <c r="F8" s="255">
        <f>'DOE25'!J204+'DOE25'!J222+'DOE25'!J240</f>
        <v>729</v>
      </c>
      <c r="G8" s="53">
        <f>'DOE25'!K204+'DOE25'!K222+'DOE25'!K240</f>
        <v>39661.480000000003</v>
      </c>
      <c r="H8" s="259"/>
    </row>
    <row r="9" spans="1:9" x14ac:dyDescent="0.2">
      <c r="A9" s="32">
        <v>2310</v>
      </c>
      <c r="B9" t="s">
        <v>818</v>
      </c>
      <c r="C9" s="245">
        <f t="shared" si="0"/>
        <v>325167.67</v>
      </c>
      <c r="D9" s="244">
        <v>325167.67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22431.25</v>
      </c>
      <c r="D10" s="243"/>
      <c r="E10" s="244">
        <v>22431.25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477885</v>
      </c>
      <c r="D11" s="244">
        <v>477885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2948405.96</v>
      </c>
      <c r="D12" s="20">
        <f>'DOE25'!L205+'DOE25'!L223+'DOE25'!L241-F12-G12</f>
        <v>2926970.95</v>
      </c>
      <c r="E12" s="243"/>
      <c r="F12" s="255">
        <f>'DOE25'!J205+'DOE25'!J223+'DOE25'!J241</f>
        <v>5447.05</v>
      </c>
      <c r="G12" s="53">
        <f>'DOE25'!K205+'DOE25'!K223+'DOE25'!K241</f>
        <v>15987.96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20628.14</v>
      </c>
      <c r="D13" s="243"/>
      <c r="E13" s="20">
        <f>'DOE25'!L206+'DOE25'!L224+'DOE25'!L242-F13-G13</f>
        <v>19992</v>
      </c>
      <c r="F13" s="255">
        <f>'DOE25'!J206+'DOE25'!J224+'DOE25'!J242</f>
        <v>0</v>
      </c>
      <c r="G13" s="53">
        <f>'DOE25'!K206+'DOE25'!K224+'DOE25'!K242</f>
        <v>636.14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5616995.9899999993</v>
      </c>
      <c r="D14" s="20">
        <f>'DOE25'!L207+'DOE25'!L225+'DOE25'!L243-F14-G14</f>
        <v>5551913.0799999991</v>
      </c>
      <c r="E14" s="243"/>
      <c r="F14" s="255">
        <f>'DOE25'!J207+'DOE25'!J225+'DOE25'!J243</f>
        <v>59869.729999999996</v>
      </c>
      <c r="G14" s="53">
        <f>'DOE25'!K207+'DOE25'!K225+'DOE25'!K243</f>
        <v>5213.18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1848709.91</v>
      </c>
      <c r="D15" s="20">
        <f>'DOE25'!L208+'DOE25'!L226+'DOE25'!L244-F15-G15</f>
        <v>1848709.91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1139369.1299999999</v>
      </c>
      <c r="D16" s="243"/>
      <c r="E16" s="20">
        <f>'DOE25'!L209+'DOE25'!L227+'DOE25'!L245-F16-G16</f>
        <v>752044.57999999984</v>
      </c>
      <c r="F16" s="255">
        <f>'DOE25'!J209+'DOE25'!J227+'DOE25'!J245</f>
        <v>387324.55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295978.68999999994</v>
      </c>
      <c r="D22" s="243"/>
      <c r="E22" s="243"/>
      <c r="F22" s="255">
        <f>'DOE25'!L255+'DOE25'!L336</f>
        <v>295978.68999999994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3627993.75</v>
      </c>
      <c r="D25" s="243"/>
      <c r="E25" s="243"/>
      <c r="F25" s="258"/>
      <c r="G25" s="256"/>
      <c r="H25" s="257">
        <f>'DOE25'!L260+'DOE25'!L261+'DOE25'!L341+'DOE25'!L342</f>
        <v>3627993.75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752958.74000000022</v>
      </c>
      <c r="D29" s="20">
        <f>'DOE25'!L358+'DOE25'!L359+'DOE25'!L360-'DOE25'!I367-F29-G29</f>
        <v>745937.39000000025</v>
      </c>
      <c r="E29" s="243"/>
      <c r="F29" s="255">
        <f>'DOE25'!J358+'DOE25'!J359+'DOE25'!J360</f>
        <v>5979.66</v>
      </c>
      <c r="G29" s="53">
        <f>'DOE25'!K358+'DOE25'!K359+'DOE25'!K360</f>
        <v>1041.69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2684975.4300000006</v>
      </c>
      <c r="D31" s="20">
        <f>'DOE25'!L290+'DOE25'!L309+'DOE25'!L328+'DOE25'!L333+'DOE25'!L334+'DOE25'!L335-F31-G31</f>
        <v>2426452.3200000003</v>
      </c>
      <c r="E31" s="243"/>
      <c r="F31" s="255">
        <f>'DOE25'!J290+'DOE25'!J309+'DOE25'!J328+'DOE25'!J333+'DOE25'!J334+'DOE25'!J335</f>
        <v>174304.36999999997</v>
      </c>
      <c r="G31" s="53">
        <f>'DOE25'!K290+'DOE25'!K309+'DOE25'!K328+'DOE25'!K333+'DOE25'!K334+'DOE25'!K335</f>
        <v>84218.739999999991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54122589.670000002</v>
      </c>
      <c r="E33" s="246">
        <f>SUM(E5:E31)</f>
        <v>2416640.5999999996</v>
      </c>
      <c r="F33" s="246">
        <f>SUM(F5:F31)</f>
        <v>1120323.3299999998</v>
      </c>
      <c r="G33" s="246">
        <f>SUM(G5:G31)</f>
        <v>211679.51</v>
      </c>
      <c r="H33" s="246">
        <f>SUM(H5:H31)</f>
        <v>3627993.75</v>
      </c>
    </row>
    <row r="35" spans="2:8" ht="12" thickBot="1" x14ac:dyDescent="0.25">
      <c r="B35" s="253" t="s">
        <v>847</v>
      </c>
      <c r="D35" s="254">
        <f>E33</f>
        <v>2416640.5999999996</v>
      </c>
      <c r="E35" s="249"/>
    </row>
    <row r="36" spans="2:8" ht="12" thickTop="1" x14ac:dyDescent="0.2">
      <c r="B36" t="s">
        <v>815</v>
      </c>
      <c r="D36" s="20">
        <f>D33</f>
        <v>54122589.670000002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KEENE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1224784.9599999997</v>
      </c>
      <c r="D8" s="95">
        <f>'DOE25'!G9</f>
        <v>172114.49</v>
      </c>
      <c r="E8" s="95">
        <f>'DOE25'!H9</f>
        <v>242922.95</v>
      </c>
      <c r="F8" s="95">
        <f>'DOE25'!I9</f>
        <v>328837.21000000002</v>
      </c>
      <c r="G8" s="95">
        <f>'DOE25'!J9</f>
        <v>437581.27999999997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359511.74</v>
      </c>
      <c r="D11" s="95">
        <f>'DOE25'!G12</f>
        <v>0</v>
      </c>
      <c r="E11" s="95">
        <f>'DOE25'!H12</f>
        <v>69880.179999999993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2444366.5499999998</v>
      </c>
      <c r="D12" s="95">
        <f>'DOE25'!G13</f>
        <v>58917.08</v>
      </c>
      <c r="E12" s="95">
        <f>'DOE25'!H13</f>
        <v>451098.32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42955.28</v>
      </c>
      <c r="D13" s="95">
        <f>'DOE25'!G14</f>
        <v>5435.71</v>
      </c>
      <c r="E13" s="95">
        <f>'DOE25'!H14</f>
        <v>63839.54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3389</v>
      </c>
      <c r="D16" s="95">
        <f>'DOE25'!G17</f>
        <v>0</v>
      </c>
      <c r="E16" s="95">
        <f>'DOE25'!H17</f>
        <v>2955.64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4075007.5299999993</v>
      </c>
      <c r="D18" s="41">
        <f>SUM(D8:D17)</f>
        <v>236467.28</v>
      </c>
      <c r="E18" s="41">
        <f>SUM(E8:E17)</f>
        <v>830696.63</v>
      </c>
      <c r="F18" s="41">
        <f>SUM(F8:F17)</f>
        <v>328837.21000000002</v>
      </c>
      <c r="G18" s="41">
        <f>SUM(G8:G17)</f>
        <v>437581.27999999997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429391.92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25621.81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594867.16</v>
      </c>
      <c r="D23" s="95">
        <f>'DOE25'!G24</f>
        <v>111.67</v>
      </c>
      <c r="E23" s="95">
        <f>'DOE25'!H24</f>
        <v>24469.07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9371.17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152604</v>
      </c>
      <c r="D29" s="95">
        <f>'DOE25'!G30</f>
        <v>24996.66</v>
      </c>
      <c r="E29" s="95">
        <f>'DOE25'!H30</f>
        <v>58785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782464.14000000013</v>
      </c>
      <c r="D31" s="41">
        <f>SUM(D21:D30)</f>
        <v>25108.329999999998</v>
      </c>
      <c r="E31" s="41">
        <f>SUM(E21:E30)</f>
        <v>512645.99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3389</v>
      </c>
      <c r="D35" s="95">
        <f>'DOE25'!G36</f>
        <v>0</v>
      </c>
      <c r="E35" s="95">
        <f>'DOE25'!H36</f>
        <v>2226.64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211358.95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287433.5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270591.39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100001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437581.28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225522.39</v>
      </c>
      <c r="D48" s="95">
        <f>'DOE25'!G49</f>
        <v>0</v>
      </c>
      <c r="E48" s="95">
        <f>'DOE25'!H49</f>
        <v>45232.61</v>
      </c>
      <c r="F48" s="95">
        <f>'DOE25'!I49</f>
        <v>41403.71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2963631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3292543.39</v>
      </c>
      <c r="D50" s="41">
        <f>SUM(D34:D49)</f>
        <v>211358.95</v>
      </c>
      <c r="E50" s="41">
        <f>SUM(E34:E49)</f>
        <v>318050.64</v>
      </c>
      <c r="F50" s="41">
        <f>SUM(F34:F49)</f>
        <v>328837.21000000002</v>
      </c>
      <c r="G50" s="41">
        <f>SUM(G34:G49)</f>
        <v>437581.28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4075007.5300000003</v>
      </c>
      <c r="D51" s="41">
        <f>D50+D31</f>
        <v>236467.28</v>
      </c>
      <c r="E51" s="41">
        <f>E50+E31</f>
        <v>830696.63</v>
      </c>
      <c r="F51" s="41">
        <f>F50+F31</f>
        <v>328837.21000000002</v>
      </c>
      <c r="G51" s="41">
        <f>G50+G31</f>
        <v>437581.28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27780699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11855440.109999999</v>
      </c>
      <c r="D57" s="24" t="s">
        <v>289</v>
      </c>
      <c r="E57" s="95">
        <f>'DOE25'!H79</f>
        <v>449668.25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8671.94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160.28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762955.84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1334239.98</v>
      </c>
      <c r="D61" s="95">
        <f>SUM('DOE25'!G98:G110)</f>
        <v>21325</v>
      </c>
      <c r="E61" s="95">
        <f>SUM('DOE25'!H98:H110)</f>
        <v>235661.17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13198352.029999999</v>
      </c>
      <c r="D62" s="130">
        <f>SUM(D57:D61)</f>
        <v>784280.84</v>
      </c>
      <c r="E62" s="130">
        <f>SUM(E57:E61)</f>
        <v>685329.42</v>
      </c>
      <c r="F62" s="130">
        <f>SUM(F57:F61)</f>
        <v>0</v>
      </c>
      <c r="G62" s="130">
        <f>SUM(G57:G61)</f>
        <v>160.28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40979051.030000001</v>
      </c>
      <c r="D63" s="22">
        <f>D56+D62</f>
        <v>784280.84</v>
      </c>
      <c r="E63" s="22">
        <f>E56+E62</f>
        <v>685329.42</v>
      </c>
      <c r="F63" s="22">
        <f>F56+F62</f>
        <v>0</v>
      </c>
      <c r="G63" s="22">
        <f>G56+G62</f>
        <v>160.28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10475824.27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4300852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14776676.27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1790646.14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509372.65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197773.76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13911.56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2497792.5499999998</v>
      </c>
      <c r="D78" s="130">
        <f>SUM(D72:D77)</f>
        <v>13911.56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17274468.82</v>
      </c>
      <c r="D81" s="130">
        <f>SUM(D79:D80)+D78+D70</f>
        <v>13911.56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505123.23</v>
      </c>
      <c r="D88" s="95">
        <f>SUM('DOE25'!G153:G161)</f>
        <v>671701.37</v>
      </c>
      <c r="E88" s="95">
        <f>SUM('DOE25'!H153:H161)</f>
        <v>2059914.33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505123.23</v>
      </c>
      <c r="D91" s="131">
        <f>SUM(D85:D90)</f>
        <v>671701.37</v>
      </c>
      <c r="E91" s="131">
        <f>SUM(E85:E90)</f>
        <v>2059914.33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20510.47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12455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20510.47</v>
      </c>
      <c r="D103" s="86">
        <f>SUM(D93:D102)</f>
        <v>0</v>
      </c>
      <c r="E103" s="86">
        <f>SUM(E93:E102)</f>
        <v>0</v>
      </c>
      <c r="F103" s="86">
        <f>SUM(F93:F102)</f>
        <v>12455</v>
      </c>
      <c r="G103" s="86">
        <f>SUM(G93:G102)</f>
        <v>100000</v>
      </c>
    </row>
    <row r="104" spans="1:7" ht="12.75" thickTop="1" thickBot="1" x14ac:dyDescent="0.25">
      <c r="A104" s="33" t="s">
        <v>765</v>
      </c>
      <c r="C104" s="86">
        <f>C63+C81+C91+C103</f>
        <v>58779153.549999997</v>
      </c>
      <c r="D104" s="86">
        <f>D63+D81+D91+D103</f>
        <v>1469893.77</v>
      </c>
      <c r="E104" s="86">
        <f>E63+E81+E91+E103</f>
        <v>2745243.75</v>
      </c>
      <c r="F104" s="86">
        <f>F63+F81+F91+F103</f>
        <v>12455</v>
      </c>
      <c r="G104" s="86">
        <f>G63+G81+G103</f>
        <v>100160.28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20479619.039999999</v>
      </c>
      <c r="D109" s="24" t="s">
        <v>289</v>
      </c>
      <c r="E109" s="95">
        <f>('DOE25'!L276)+('DOE25'!L295)+('DOE25'!L314)</f>
        <v>839051.71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10867575.82</v>
      </c>
      <c r="D110" s="24" t="s">
        <v>289</v>
      </c>
      <c r="E110" s="95">
        <f>('DOE25'!L277)+('DOE25'!L296)+('DOE25'!L315)</f>
        <v>197633.2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1376063.11</v>
      </c>
      <c r="D111" s="24" t="s">
        <v>289</v>
      </c>
      <c r="E111" s="95">
        <f>('DOE25'!L278)+('DOE25'!L297)+('DOE25'!L316)</f>
        <v>96051.459999999992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699994.29</v>
      </c>
      <c r="D112" s="24" t="s">
        <v>289</v>
      </c>
      <c r="E112" s="95">
        <f>+('DOE25'!L279)+('DOE25'!L298)+('DOE25'!L317)</f>
        <v>26860.940000000002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6376.75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472235.59000000008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33423252.259999998</v>
      </c>
      <c r="D115" s="86">
        <f>SUM(D109:D114)</f>
        <v>0</v>
      </c>
      <c r="E115" s="86">
        <f>SUM(E109:E114)</f>
        <v>1638209.65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5135320.6700000009</v>
      </c>
      <c r="D118" s="24" t="s">
        <v>289</v>
      </c>
      <c r="E118" s="95">
        <f>+('DOE25'!L281)+('DOE25'!L300)+('DOE25'!L319)</f>
        <v>263823.7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1516591.02</v>
      </c>
      <c r="D119" s="24" t="s">
        <v>289</v>
      </c>
      <c r="E119" s="95">
        <f>+('DOE25'!L282)+('DOE25'!L301)+('DOE25'!L320)</f>
        <v>541006.05000000005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2465615.92</v>
      </c>
      <c r="D120" s="24" t="s">
        <v>289</v>
      </c>
      <c r="E120" s="95">
        <f>+('DOE25'!L283)+('DOE25'!L302)+('DOE25'!L321)</f>
        <v>124479.16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2948405.96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20628.14</v>
      </c>
      <c r="D122" s="24" t="s">
        <v>289</v>
      </c>
      <c r="E122" s="95">
        <f>+('DOE25'!L285)+('DOE25'!L304)+('DOE25'!L323)</f>
        <v>18465.36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5616995.9899999993</v>
      </c>
      <c r="D123" s="24" t="s">
        <v>289</v>
      </c>
      <c r="E123" s="95">
        <f>+('DOE25'!L286)+('DOE25'!L305)+('DOE25'!L324)</f>
        <v>57159.740000000005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1848709.91</v>
      </c>
      <c r="D124" s="24" t="s">
        <v>289</v>
      </c>
      <c r="E124" s="95">
        <f>+('DOE25'!L287)+('DOE25'!L306)+('DOE25'!L325)</f>
        <v>46805.5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1139369.1299999999</v>
      </c>
      <c r="D125" s="24" t="s">
        <v>289</v>
      </c>
      <c r="E125" s="95">
        <f>+('DOE25'!L288)+('DOE25'!L307)+('DOE25'!L326)</f>
        <v>1403.02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1449462.1400000001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20691636.739999998</v>
      </c>
      <c r="D128" s="86">
        <f>SUM(D118:D127)</f>
        <v>1449462.1400000001</v>
      </c>
      <c r="E128" s="86">
        <f>SUM(E118:E127)</f>
        <v>1053142.53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3532.97</v>
      </c>
      <c r="D130" s="24" t="s">
        <v>289</v>
      </c>
      <c r="E130" s="129">
        <f>'DOE25'!L336</f>
        <v>292445.71999999997</v>
      </c>
      <c r="F130" s="129">
        <f>SUM('DOE25'!L374:'DOE25'!L380)</f>
        <v>60618.44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2932843.18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695150.57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20510.47</v>
      </c>
      <c r="G134" s="95">
        <f>'DOE25'!K434</f>
        <v>12455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100160.28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-160.27999999999884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3731526.72</v>
      </c>
      <c r="D144" s="141">
        <f>SUM(D130:D143)</f>
        <v>0</v>
      </c>
      <c r="E144" s="141">
        <f>SUM(E130:E143)</f>
        <v>292445.71999999997</v>
      </c>
      <c r="F144" s="141">
        <f>SUM(F130:F143)</f>
        <v>81128.91</v>
      </c>
      <c r="G144" s="141">
        <f>SUM(G130:G143)</f>
        <v>12455</v>
      </c>
    </row>
    <row r="145" spans="1:9" ht="12.75" thickTop="1" thickBot="1" x14ac:dyDescent="0.25">
      <c r="A145" s="33" t="s">
        <v>244</v>
      </c>
      <c r="C145" s="86">
        <f>(C115+C128+C144)</f>
        <v>57846415.719999999</v>
      </c>
      <c r="D145" s="86">
        <f>(D115+D128+D144)</f>
        <v>1449462.1400000001</v>
      </c>
      <c r="E145" s="86">
        <f>(E115+E128+E144)</f>
        <v>2983797.8999999994</v>
      </c>
      <c r="F145" s="86">
        <f>(F115+F128+F144)</f>
        <v>81128.91</v>
      </c>
      <c r="G145" s="86">
        <f>(G115+G128+G144)</f>
        <v>12455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29</v>
      </c>
      <c r="E151" s="153">
        <f>'DOE25'!I490</f>
        <v>29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7/99</v>
      </c>
      <c r="C152" s="152" t="str">
        <f>'DOE25'!G491</f>
        <v>08/06</v>
      </c>
      <c r="D152" s="152" t="str">
        <f>'DOE25'!H491</f>
        <v>07/10</v>
      </c>
      <c r="E152" s="152" t="str">
        <f>'DOE25'!I491</f>
        <v>07/10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08/19</v>
      </c>
      <c r="C153" s="152" t="str">
        <f>'DOE25'!G492</f>
        <v>08/16</v>
      </c>
      <c r="D153" s="152" t="str">
        <f>'DOE25'!H492</f>
        <v>08/39</v>
      </c>
      <c r="E153" s="152" t="str">
        <f>'DOE25'!I492</f>
        <v>08/36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17500000</v>
      </c>
      <c r="C154" s="137">
        <f>'DOE25'!G493</f>
        <v>1225000</v>
      </c>
      <c r="D154" s="137">
        <f>'DOE25'!H493</f>
        <v>35115529.659999996</v>
      </c>
      <c r="E154" s="137">
        <f>'DOE25'!I493</f>
        <v>1817970.34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3.79</v>
      </c>
      <c r="D155" s="137">
        <f>'DOE25'!H494</f>
        <v>4.4400000000000004</v>
      </c>
      <c r="E155" s="137">
        <f>'DOE25'!I494</f>
        <v>4.4400000000000004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5250000</v>
      </c>
      <c r="C156" s="137">
        <f>'DOE25'!G495</f>
        <v>360000</v>
      </c>
      <c r="D156" s="137">
        <f>'DOE25'!H495</f>
        <v>28130402.25</v>
      </c>
      <c r="E156" s="137">
        <f>'DOE25'!I495</f>
        <v>1456342.45</v>
      </c>
      <c r="F156" s="137">
        <f>'DOE25'!J495</f>
        <v>0</v>
      </c>
      <c r="G156" s="138">
        <f>SUM(B156:F156)</f>
        <v>35196744.700000003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875000</v>
      </c>
      <c r="C158" s="137">
        <f>'DOE25'!G497</f>
        <v>120000</v>
      </c>
      <c r="D158" s="137">
        <f>'DOE25'!H497</f>
        <v>1842457.11</v>
      </c>
      <c r="E158" s="137">
        <f>'DOE25'!I497</f>
        <v>95386.07</v>
      </c>
      <c r="F158" s="137">
        <f>'DOE25'!J497</f>
        <v>0</v>
      </c>
      <c r="G158" s="138">
        <f t="shared" si="0"/>
        <v>2932843.18</v>
      </c>
    </row>
    <row r="159" spans="1:9" x14ac:dyDescent="0.2">
      <c r="A159" s="22" t="s">
        <v>35</v>
      </c>
      <c r="B159" s="137">
        <f>'DOE25'!F498</f>
        <v>4375000</v>
      </c>
      <c r="C159" s="137">
        <f>'DOE25'!G498</f>
        <v>240000</v>
      </c>
      <c r="D159" s="137">
        <f>'DOE25'!H498</f>
        <v>26287945.140000001</v>
      </c>
      <c r="E159" s="137">
        <f>'DOE25'!I498</f>
        <v>1360956.38</v>
      </c>
      <c r="F159" s="137">
        <f>'DOE25'!J498</f>
        <v>0</v>
      </c>
      <c r="G159" s="138">
        <f t="shared" si="0"/>
        <v>32263901.52</v>
      </c>
    </row>
    <row r="160" spans="1:9" x14ac:dyDescent="0.2">
      <c r="A160" s="22" t="s">
        <v>36</v>
      </c>
      <c r="B160" s="137">
        <f>'DOE25'!F499</f>
        <v>574218.75</v>
      </c>
      <c r="C160" s="137">
        <f>'DOE25'!G499</f>
        <v>9120</v>
      </c>
      <c r="D160" s="137">
        <f>'DOE25'!H499</f>
        <v>29971366.010000002</v>
      </c>
      <c r="E160" s="137">
        <f>'DOE25'!I499</f>
        <v>1551651.22</v>
      </c>
      <c r="F160" s="137">
        <f>'DOE25'!J499</f>
        <v>0</v>
      </c>
      <c r="G160" s="138">
        <f t="shared" si="0"/>
        <v>32106355.98</v>
      </c>
    </row>
    <row r="161" spans="1:7" x14ac:dyDescent="0.2">
      <c r="A161" s="22" t="s">
        <v>37</v>
      </c>
      <c r="B161" s="137">
        <f>'DOE25'!F500</f>
        <v>4949218.75</v>
      </c>
      <c r="C161" s="137">
        <f>'DOE25'!G500</f>
        <v>249120</v>
      </c>
      <c r="D161" s="137">
        <f>'DOE25'!H500</f>
        <v>56259311.150000006</v>
      </c>
      <c r="E161" s="137">
        <f>'DOE25'!I500</f>
        <v>2912607.5999999996</v>
      </c>
      <c r="F161" s="137">
        <f>'DOE25'!J500</f>
        <v>0</v>
      </c>
      <c r="G161" s="138">
        <f t="shared" si="0"/>
        <v>64370257.500000007</v>
      </c>
    </row>
    <row r="162" spans="1:7" x14ac:dyDescent="0.2">
      <c r="A162" s="22" t="s">
        <v>38</v>
      </c>
      <c r="B162" s="137">
        <f>'DOE25'!F501</f>
        <v>875000</v>
      </c>
      <c r="C162" s="137">
        <f>'DOE25'!G501</f>
        <v>120000</v>
      </c>
      <c r="D162" s="137">
        <f>'DOE25'!H501</f>
        <v>1756751.5</v>
      </c>
      <c r="E162" s="137">
        <f>'DOE25'!I501</f>
        <v>90948.99</v>
      </c>
      <c r="F162" s="137">
        <f>'DOE25'!J501</f>
        <v>0</v>
      </c>
      <c r="G162" s="138">
        <f t="shared" si="0"/>
        <v>2842700.49</v>
      </c>
    </row>
    <row r="163" spans="1:7" x14ac:dyDescent="0.2">
      <c r="A163" s="22" t="s">
        <v>39</v>
      </c>
      <c r="B163" s="137">
        <f>'DOE25'!F502</f>
        <v>206718.75</v>
      </c>
      <c r="C163" s="137">
        <f>'DOE25'!G502</f>
        <v>6840</v>
      </c>
      <c r="D163" s="137">
        <f>'DOE25'!H502</f>
        <v>494867.17999999993</v>
      </c>
      <c r="E163" s="137">
        <f>'DOE25'!I502</f>
        <v>25619.83</v>
      </c>
      <c r="F163" s="137">
        <f>'DOE25'!J502</f>
        <v>0</v>
      </c>
      <c r="G163" s="138">
        <f t="shared" si="0"/>
        <v>734045.75999999989</v>
      </c>
    </row>
    <row r="164" spans="1:7" x14ac:dyDescent="0.2">
      <c r="A164" s="22" t="s">
        <v>246</v>
      </c>
      <c r="B164" s="137">
        <f>'DOE25'!F503</f>
        <v>1081718.75</v>
      </c>
      <c r="C164" s="137">
        <f>'DOE25'!G503</f>
        <v>126840</v>
      </c>
      <c r="D164" s="137">
        <f>'DOE25'!H503</f>
        <v>2251618.6799999997</v>
      </c>
      <c r="E164" s="137">
        <f>'DOE25'!I503</f>
        <v>116568.82</v>
      </c>
      <c r="F164" s="137">
        <f>'DOE25'!J503</f>
        <v>0</v>
      </c>
      <c r="G164" s="138">
        <f t="shared" si="0"/>
        <v>3576746.2499999995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KEENE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17750</v>
      </c>
    </row>
    <row r="5" spans="1:4" x14ac:dyDescent="0.2">
      <c r="B5" t="s">
        <v>704</v>
      </c>
      <c r="C5" s="179">
        <f>IF('DOE25'!G665+'DOE25'!G670=0,0,ROUND('DOE25'!G672,0))</f>
        <v>13226</v>
      </c>
    </row>
    <row r="6" spans="1:4" x14ac:dyDescent="0.2">
      <c r="B6" t="s">
        <v>62</v>
      </c>
      <c r="C6" s="179">
        <f>IF('DOE25'!H665+'DOE25'!H670=0,0,ROUND('DOE25'!H672,0))</f>
        <v>14990</v>
      </c>
    </row>
    <row r="7" spans="1:4" x14ac:dyDescent="0.2">
      <c r="B7" t="s">
        <v>705</v>
      </c>
      <c r="C7" s="179">
        <f>IF('DOE25'!I665+'DOE25'!I670=0,0,ROUND('DOE25'!I672,0))</f>
        <v>15655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21318671</v>
      </c>
      <c r="D10" s="182">
        <f>ROUND((C10/$C$28)*100,1)</f>
        <v>36.700000000000003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11065209</v>
      </c>
      <c r="D11" s="182">
        <f>ROUND((C11/$C$28)*100,1)</f>
        <v>19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1472115</v>
      </c>
      <c r="D12" s="182">
        <f>ROUND((C12/$C$28)*100,1)</f>
        <v>2.5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726855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5399144</v>
      </c>
      <c r="D15" s="182">
        <f t="shared" ref="D15:D27" si="0">ROUND((C15/$C$28)*100,1)</f>
        <v>9.3000000000000007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2057597</v>
      </c>
      <c r="D16" s="182">
        <f t="shared" si="0"/>
        <v>3.5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3730867</v>
      </c>
      <c r="D17" s="182">
        <f t="shared" si="0"/>
        <v>6.4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2948406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39094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5674156</v>
      </c>
      <c r="D20" s="182">
        <f t="shared" si="0"/>
        <v>9.8000000000000007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1895515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6377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472236</v>
      </c>
      <c r="D24" s="182">
        <f t="shared" si="0"/>
        <v>0.8</v>
      </c>
    </row>
    <row r="25" spans="1:4" x14ac:dyDescent="0.2">
      <c r="A25">
        <v>5120</v>
      </c>
      <c r="B25" t="s">
        <v>720</v>
      </c>
      <c r="C25" s="179">
        <f>ROUND('DOE25'!L261+'DOE25'!L342,0)</f>
        <v>695151</v>
      </c>
      <c r="D25" s="182">
        <f t="shared" si="0"/>
        <v>1.2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665181.16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58166574.159999996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356597</v>
      </c>
    </row>
    <row r="30" spans="1:4" x14ac:dyDescent="0.2">
      <c r="B30" s="187" t="s">
        <v>729</v>
      </c>
      <c r="C30" s="180">
        <f>SUM(C28:C29)</f>
        <v>58523171.159999996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2932843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27780699</v>
      </c>
      <c r="D35" s="182">
        <f t="shared" ref="D35:D40" si="1">ROUND((C35/$C$41)*100,1)</f>
        <v>44.7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13883841.730000004</v>
      </c>
      <c r="D36" s="182">
        <f t="shared" si="1"/>
        <v>22.3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14776676</v>
      </c>
      <c r="D37" s="182">
        <f t="shared" si="1"/>
        <v>23.8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2511704</v>
      </c>
      <c r="D38" s="182">
        <f t="shared" si="1"/>
        <v>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3236739</v>
      </c>
      <c r="D39" s="182">
        <f t="shared" si="1"/>
        <v>5.2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62189659.730000004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KEENE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2015-05-12T14:17:11Z</cp:lastPrinted>
  <dcterms:created xsi:type="dcterms:W3CDTF">1997-12-04T19:04:30Z</dcterms:created>
  <dcterms:modified xsi:type="dcterms:W3CDTF">2015-11-25T18:36:23Z</dcterms:modified>
</cp:coreProperties>
</file>