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7" i="12" l="1"/>
  <c r="B40" i="12" s="1"/>
  <c r="B30" i="12"/>
  <c r="C30" i="12" s="1"/>
  <c r="B29" i="12"/>
  <c r="B28" i="12"/>
  <c r="B21" i="12"/>
  <c r="C21" i="12" s="1"/>
  <c r="B20" i="12"/>
  <c r="B19" i="12"/>
  <c r="B10" i="12"/>
  <c r="B12" i="12"/>
  <c r="B11" i="12"/>
  <c r="C11" i="12" s="1"/>
  <c r="C12" i="12"/>
  <c r="G613" i="1"/>
  <c r="F612" i="1"/>
  <c r="F613" i="1"/>
  <c r="F611" i="1"/>
  <c r="G532" i="1"/>
  <c r="G533" i="1"/>
  <c r="G531" i="1"/>
  <c r="G527" i="1"/>
  <c r="L527" i="1" s="1"/>
  <c r="G550" i="1" s="1"/>
  <c r="G528" i="1"/>
  <c r="G526" i="1"/>
  <c r="G529" i="1" s="1"/>
  <c r="I523" i="1"/>
  <c r="J523" i="1"/>
  <c r="H523" i="1"/>
  <c r="G523" i="1"/>
  <c r="L523" i="1" s="1"/>
  <c r="F551" i="1" s="1"/>
  <c r="F523" i="1"/>
  <c r="J522" i="1"/>
  <c r="J524" i="1" s="1"/>
  <c r="I522" i="1"/>
  <c r="G522" i="1"/>
  <c r="H522" i="1"/>
  <c r="F522" i="1"/>
  <c r="L522" i="1" s="1"/>
  <c r="F550" i="1" s="1"/>
  <c r="J521" i="1"/>
  <c r="I521" i="1"/>
  <c r="H521" i="1"/>
  <c r="F521" i="1"/>
  <c r="J604" i="1"/>
  <c r="H591" i="1"/>
  <c r="K591" i="1" s="1"/>
  <c r="F197" i="1"/>
  <c r="F276" i="1"/>
  <c r="F290" i="1" s="1"/>
  <c r="H604" i="1"/>
  <c r="I604" i="1"/>
  <c r="H605" i="1"/>
  <c r="J592" i="1"/>
  <c r="J598" i="1" s="1"/>
  <c r="I592" i="1"/>
  <c r="H592" i="1"/>
  <c r="G359" i="1"/>
  <c r="G360" i="1"/>
  <c r="G358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E50" i="2" s="1"/>
  <c r="D36" i="2"/>
  <c r="C36" i="2"/>
  <c r="C50" i="2" s="1"/>
  <c r="I455" i="1"/>
  <c r="J45" i="1"/>
  <c r="G44" i="2" s="1"/>
  <c r="I458" i="1"/>
  <c r="J39" i="1" s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29" i="1" s="1"/>
  <c r="L233" i="1"/>
  <c r="L234" i="1"/>
  <c r="L235" i="1"/>
  <c r="L236" i="1"/>
  <c r="L247" i="1" s="1"/>
  <c r="F6" i="13"/>
  <c r="G6" i="13"/>
  <c r="L202" i="1"/>
  <c r="L220" i="1"/>
  <c r="C118" i="2" s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C123" i="2"/>
  <c r="L225" i="1"/>
  <c r="L243" i="1"/>
  <c r="F15" i="13"/>
  <c r="G15" i="13"/>
  <c r="L208" i="1"/>
  <c r="L226" i="1"/>
  <c r="L244" i="1"/>
  <c r="C21" i="10"/>
  <c r="F17" i="13"/>
  <c r="G17" i="13"/>
  <c r="L251" i="1"/>
  <c r="F18" i="13"/>
  <c r="G18" i="13"/>
  <c r="L252" i="1"/>
  <c r="F19" i="13"/>
  <c r="G19" i="13"/>
  <c r="D19" i="13" s="1"/>
  <c r="L253" i="1"/>
  <c r="F29" i="13"/>
  <c r="G29" i="13"/>
  <c r="L358" i="1"/>
  <c r="L359" i="1"/>
  <c r="I367" i="1"/>
  <c r="J290" i="1"/>
  <c r="J338" i="1" s="1"/>
  <c r="J309" i="1"/>
  <c r="J328" i="1"/>
  <c r="J352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C12" i="10"/>
  <c r="L317" i="1"/>
  <c r="E112" i="2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L255" i="1"/>
  <c r="L336" i="1"/>
  <c r="E130" i="2"/>
  <c r="C11" i="13"/>
  <c r="C10" i="13"/>
  <c r="C9" i="13"/>
  <c r="L361" i="1"/>
  <c r="B4" i="12"/>
  <c r="B36" i="12"/>
  <c r="C36" i="12"/>
  <c r="C37" i="12" s="1"/>
  <c r="C40" i="12"/>
  <c r="B27" i="12"/>
  <c r="C27" i="12"/>
  <c r="C9" i="12"/>
  <c r="B18" i="12"/>
  <c r="C18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1" i="1" s="1"/>
  <c r="C139" i="2" s="1"/>
  <c r="L400" i="1"/>
  <c r="L403" i="1"/>
  <c r="L404" i="1"/>
  <c r="L405" i="1"/>
  <c r="L407" i="1" s="1"/>
  <c r="L406" i="1"/>
  <c r="L266" i="1"/>
  <c r="J60" i="1"/>
  <c r="G56" i="2"/>
  <c r="G59" i="2"/>
  <c r="G61" i="2"/>
  <c r="F2" i="11"/>
  <c r="L613" i="1"/>
  <c r="H663" i="1" s="1"/>
  <c r="C40" i="10"/>
  <c r="F60" i="1"/>
  <c r="F112" i="1" s="1"/>
  <c r="F193" i="1" s="1"/>
  <c r="G627" i="1" s="1"/>
  <c r="J627" i="1" s="1"/>
  <c r="G60" i="1"/>
  <c r="H60" i="1"/>
  <c r="I60" i="1"/>
  <c r="F79" i="1"/>
  <c r="C57" i="2" s="1"/>
  <c r="C62" i="2" s="1"/>
  <c r="F94" i="1"/>
  <c r="F111" i="1"/>
  <c r="G111" i="1"/>
  <c r="G112" i="1"/>
  <c r="H79" i="1"/>
  <c r="E57" i="2"/>
  <c r="E62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/>
  <c r="I121" i="1"/>
  <c r="I136" i="1"/>
  <c r="J121" i="1"/>
  <c r="J136" i="1"/>
  <c r="F147" i="1"/>
  <c r="F169" i="1" s="1"/>
  <c r="F162" i="1"/>
  <c r="G147" i="1"/>
  <c r="G162" i="1"/>
  <c r="H147" i="1"/>
  <c r="H162" i="1"/>
  <c r="I147" i="1"/>
  <c r="I162" i="1"/>
  <c r="L250" i="1"/>
  <c r="L332" i="1"/>
  <c r="E113" i="2" s="1"/>
  <c r="L254" i="1"/>
  <c r="C24" i="10" s="1"/>
  <c r="L268" i="1"/>
  <c r="L269" i="1"/>
  <c r="L349" i="1"/>
  <c r="L350" i="1"/>
  <c r="E143" i="2" s="1"/>
  <c r="I665" i="1"/>
  <c r="I670" i="1"/>
  <c r="G662" i="1"/>
  <c r="H662" i="1"/>
  <c r="I669" i="1"/>
  <c r="C42" i="10"/>
  <c r="L374" i="1"/>
  <c r="L375" i="1"/>
  <c r="L382" i="1" s="1"/>
  <c r="G636" i="1" s="1"/>
  <c r="J636" i="1" s="1"/>
  <c r="L376" i="1"/>
  <c r="L377" i="1"/>
  <c r="L378" i="1"/>
  <c r="F130" i="2"/>
  <c r="L379" i="1"/>
  <c r="L380" i="1"/>
  <c r="B2" i="10"/>
  <c r="L344" i="1"/>
  <c r="E134" i="2" s="1"/>
  <c r="L345" i="1"/>
  <c r="L346" i="1"/>
  <c r="E137" i="2" s="1"/>
  <c r="L347" i="1"/>
  <c r="K351" i="1"/>
  <c r="L528" i="1"/>
  <c r="G551" i="1" s="1"/>
  <c r="L532" i="1"/>
  <c r="H550" i="1" s="1"/>
  <c r="L533" i="1"/>
  <c r="H551" i="1" s="1"/>
  <c r="L536" i="1"/>
  <c r="L537" i="1"/>
  <c r="I550" i="1"/>
  <c r="L538" i="1"/>
  <c r="I551" i="1"/>
  <c r="L541" i="1"/>
  <c r="L542" i="1"/>
  <c r="L543" i="1"/>
  <c r="J551" i="1" s="1"/>
  <c r="E132" i="2"/>
  <c r="K270" i="1"/>
  <c r="J270" i="1"/>
  <c r="I270" i="1"/>
  <c r="H270" i="1"/>
  <c r="G270" i="1"/>
  <c r="F270" i="1"/>
  <c r="L270" i="1" s="1"/>
  <c r="C131" i="2"/>
  <c r="A1" i="2"/>
  <c r="A2" i="2"/>
  <c r="C8" i="2"/>
  <c r="D8" i="2"/>
  <c r="D18" i="2" s="1"/>
  <c r="E8" i="2"/>
  <c r="F8" i="2"/>
  <c r="I439" i="1"/>
  <c r="J9" i="1"/>
  <c r="G8" i="2" s="1"/>
  <c r="C9" i="2"/>
  <c r="D9" i="2"/>
  <c r="E9" i="2"/>
  <c r="E18" i="2" s="1"/>
  <c r="F9" i="2"/>
  <c r="I440" i="1"/>
  <c r="J10" i="1"/>
  <c r="G9" i="2" s="1"/>
  <c r="C10" i="2"/>
  <c r="C18" i="2" s="1"/>
  <c r="C11" i="2"/>
  <c r="D11" i="2"/>
  <c r="E11" i="2"/>
  <c r="F11" i="2"/>
  <c r="I441" i="1"/>
  <c r="J12" i="1"/>
  <c r="G11" i="2" s="1"/>
  <c r="C12" i="2"/>
  <c r="D12" i="2"/>
  <c r="E12" i="2"/>
  <c r="F12" i="2"/>
  <c r="I442" i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 s="1"/>
  <c r="G17" i="2"/>
  <c r="C21" i="2"/>
  <c r="D21" i="2"/>
  <c r="E21" i="2"/>
  <c r="F21" i="2"/>
  <c r="I448" i="1"/>
  <c r="J22" i="1"/>
  <c r="G21" i="2" s="1"/>
  <c r="G31" i="2" s="1"/>
  <c r="C22" i="2"/>
  <c r="D22" i="2"/>
  <c r="E22" i="2"/>
  <c r="F22" i="2"/>
  <c r="F31" i="2" s="1"/>
  <c r="F51" i="2" s="1"/>
  <c r="I449" i="1"/>
  <c r="J23" i="1"/>
  <c r="G22" i="2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/>
  <c r="C34" i="2"/>
  <c r="D34" i="2"/>
  <c r="D50" i="2" s="1"/>
  <c r="E34" i="2"/>
  <c r="F34" i="2"/>
  <c r="C35" i="2"/>
  <c r="D35" i="2"/>
  <c r="E35" i="2"/>
  <c r="F35" i="2"/>
  <c r="I454" i="1"/>
  <c r="J49" i="1"/>
  <c r="G48" i="2" s="1"/>
  <c r="I456" i="1"/>
  <c r="J43" i="1" s="1"/>
  <c r="I457" i="1"/>
  <c r="J37" i="1" s="1"/>
  <c r="I459" i="1"/>
  <c r="J48" i="1" s="1"/>
  <c r="G47" i="2"/>
  <c r="C49" i="2"/>
  <c r="D56" i="2"/>
  <c r="F56" i="2"/>
  <c r="F63" i="2" s="1"/>
  <c r="C58" i="2"/>
  <c r="E58" i="2"/>
  <c r="C59" i="2"/>
  <c r="D59" i="2"/>
  <c r="D62" i="2" s="1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F78" i="2" s="1"/>
  <c r="F81" i="2" s="1"/>
  <c r="C74" i="2"/>
  <c r="C75" i="2"/>
  <c r="C76" i="2"/>
  <c r="E76" i="2"/>
  <c r="E78" i="2" s="1"/>
  <c r="E81" i="2" s="1"/>
  <c r="F76" i="2"/>
  <c r="C77" i="2"/>
  <c r="D77" i="2"/>
  <c r="D78" i="2"/>
  <c r="D81" i="2" s="1"/>
  <c r="E77" i="2"/>
  <c r="F77" i="2"/>
  <c r="G77" i="2"/>
  <c r="G78" i="2"/>
  <c r="C79" i="2"/>
  <c r="D79" i="2"/>
  <c r="E79" i="2"/>
  <c r="C80" i="2"/>
  <c r="E80" i="2"/>
  <c r="C85" i="2"/>
  <c r="D85" i="2"/>
  <c r="F85" i="2"/>
  <c r="F91" i="2" s="1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G103" i="2" s="1"/>
  <c r="C97" i="2"/>
  <c r="D97" i="2"/>
  <c r="E97" i="2"/>
  <c r="F97" i="2"/>
  <c r="F103" i="2" s="1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D115" i="2"/>
  <c r="F115" i="2"/>
  <c r="G115" i="2"/>
  <c r="E124" i="2"/>
  <c r="E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/>
  <c r="L265" i="1"/>
  <c r="C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G158" i="2" s="1"/>
  <c r="E158" i="2"/>
  <c r="F158" i="2"/>
  <c r="B159" i="2"/>
  <c r="C159" i="2"/>
  <c r="G159" i="2" s="1"/>
  <c r="D159" i="2"/>
  <c r="E159" i="2"/>
  <c r="F159" i="2"/>
  <c r="B160" i="2"/>
  <c r="G160" i="2" s="1"/>
  <c r="C160" i="2"/>
  <c r="D160" i="2"/>
  <c r="E160" i="2"/>
  <c r="F160" i="2"/>
  <c r="F500" i="1"/>
  <c r="B161" i="2"/>
  <c r="G500" i="1"/>
  <c r="C161" i="2"/>
  <c r="G161" i="2" s="1"/>
  <c r="H500" i="1"/>
  <c r="D161" i="2"/>
  <c r="I500" i="1"/>
  <c r="E161" i="2"/>
  <c r="J500" i="1"/>
  <c r="F161" i="2"/>
  <c r="B162" i="2"/>
  <c r="C162" i="2"/>
  <c r="G162" i="2" s="1"/>
  <c r="D162" i="2"/>
  <c r="E162" i="2"/>
  <c r="F162" i="2"/>
  <c r="B163" i="2"/>
  <c r="C163" i="2"/>
  <c r="D163" i="2"/>
  <c r="E163" i="2"/>
  <c r="F163" i="2"/>
  <c r="F503" i="1"/>
  <c r="B164" i="2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G52" i="1"/>
  <c r="H618" i="1" s="1"/>
  <c r="H32" i="1"/>
  <c r="I32" i="1"/>
  <c r="H51" i="1"/>
  <c r="I51" i="1"/>
  <c r="I52" i="1"/>
  <c r="H620" i="1" s="1"/>
  <c r="J620" i="1" s="1"/>
  <c r="F177" i="1"/>
  <c r="I177" i="1"/>
  <c r="F183" i="1"/>
  <c r="G183" i="1"/>
  <c r="G192" i="1"/>
  <c r="H183" i="1"/>
  <c r="I183" i="1"/>
  <c r="J183" i="1"/>
  <c r="J192" i="1"/>
  <c r="J193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G257" i="1" s="1"/>
  <c r="G271" i="1" s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G290" i="1"/>
  <c r="H290" i="1"/>
  <c r="I290" i="1"/>
  <c r="I338" i="1" s="1"/>
  <c r="I352" i="1" s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H362" i="1"/>
  <c r="I362" i="1"/>
  <c r="G634" i="1"/>
  <c r="J362" i="1"/>
  <c r="K362" i="1"/>
  <c r="I368" i="1"/>
  <c r="I369" i="1"/>
  <c r="H634" i="1" s="1"/>
  <c r="J634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/>
  <c r="I408" i="1"/>
  <c r="L413" i="1"/>
  <c r="L414" i="1"/>
  <c r="L415" i="1"/>
  <c r="L416" i="1"/>
  <c r="L417" i="1"/>
  <c r="L418" i="1"/>
  <c r="F419" i="1"/>
  <c r="G419" i="1"/>
  <c r="H419" i="1"/>
  <c r="I419" i="1"/>
  <c r="I434" i="1" s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I452" i="1"/>
  <c r="F460" i="1"/>
  <c r="G460" i="1"/>
  <c r="G461" i="1" s="1"/>
  <c r="H640" i="1" s="1"/>
  <c r="J640" i="1" s="1"/>
  <c r="H460" i="1"/>
  <c r="I460" i="1"/>
  <c r="I461" i="1" s="1"/>
  <c r="H642" i="1" s="1"/>
  <c r="F461" i="1"/>
  <c r="H461" i="1"/>
  <c r="H641" i="1" s="1"/>
  <c r="F470" i="1"/>
  <c r="F476" i="1" s="1"/>
  <c r="H622" i="1" s="1"/>
  <c r="G470" i="1"/>
  <c r="G476" i="1" s="1"/>
  <c r="H623" i="1" s="1"/>
  <c r="H470" i="1"/>
  <c r="I470" i="1"/>
  <c r="I476" i="1"/>
  <c r="H625" i="1" s="1"/>
  <c r="J470" i="1"/>
  <c r="J476" i="1" s="1"/>
  <c r="H626" i="1" s="1"/>
  <c r="F474" i="1"/>
  <c r="G474" i="1"/>
  <c r="H474" i="1"/>
  <c r="H476" i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H524" i="1"/>
  <c r="I524" i="1"/>
  <c r="K524" i="1"/>
  <c r="F529" i="1"/>
  <c r="H529" i="1"/>
  <c r="I529" i="1"/>
  <c r="J529" i="1"/>
  <c r="K529" i="1"/>
  <c r="F534" i="1"/>
  <c r="H534" i="1"/>
  <c r="I534" i="1"/>
  <c r="J534" i="1"/>
  <c r="J545" i="1" s="1"/>
  <c r="K534" i="1"/>
  <c r="F539" i="1"/>
  <c r="G539" i="1"/>
  <c r="H539" i="1"/>
  <c r="I539" i="1"/>
  <c r="J539" i="1"/>
  <c r="K539" i="1"/>
  <c r="K545" i="1" s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/>
  <c r="L563" i="1"/>
  <c r="L564" i="1"/>
  <c r="F565" i="1"/>
  <c r="G565" i="1"/>
  <c r="H565" i="1"/>
  <c r="H571" i="1" s="1"/>
  <c r="I565" i="1"/>
  <c r="J565" i="1"/>
  <c r="K565" i="1"/>
  <c r="K571" i="1" s="1"/>
  <c r="L567" i="1"/>
  <c r="L568" i="1"/>
  <c r="L569" i="1"/>
  <c r="L570" i="1" s="1"/>
  <c r="F570" i="1"/>
  <c r="G570" i="1"/>
  <c r="H570" i="1"/>
  <c r="I570" i="1"/>
  <c r="J570" i="1"/>
  <c r="J571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3" i="1"/>
  <c r="K594" i="1"/>
  <c r="K595" i="1"/>
  <c r="K596" i="1"/>
  <c r="K597" i="1"/>
  <c r="H598" i="1"/>
  <c r="H649" i="1" s="1"/>
  <c r="J649" i="1"/>
  <c r="I598" i="1"/>
  <c r="H650" i="1"/>
  <c r="H651" i="1"/>
  <c r="J651" i="1"/>
  <c r="K602" i="1"/>
  <c r="K603" i="1"/>
  <c r="K604" i="1"/>
  <c r="K605" i="1"/>
  <c r="G648" i="1" s="1"/>
  <c r="I605" i="1"/>
  <c r="J605" i="1"/>
  <c r="H614" i="1"/>
  <c r="I614" i="1"/>
  <c r="J614" i="1"/>
  <c r="K614" i="1"/>
  <c r="G623" i="1"/>
  <c r="J623" i="1" s="1"/>
  <c r="G624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G641" i="1"/>
  <c r="J641" i="1" s="1"/>
  <c r="G643" i="1"/>
  <c r="H643" i="1"/>
  <c r="G644" i="1"/>
  <c r="J644" i="1" s="1"/>
  <c r="G645" i="1"/>
  <c r="G650" i="1"/>
  <c r="J650" i="1" s="1"/>
  <c r="G652" i="1"/>
  <c r="J652" i="1" s="1"/>
  <c r="H652" i="1"/>
  <c r="G653" i="1"/>
  <c r="H653" i="1"/>
  <c r="J653" i="1" s="1"/>
  <c r="G654" i="1"/>
  <c r="H654" i="1"/>
  <c r="H655" i="1"/>
  <c r="F192" i="1"/>
  <c r="C78" i="2"/>
  <c r="D91" i="2"/>
  <c r="G62" i="2"/>
  <c r="C19" i="13"/>
  <c r="L419" i="1"/>
  <c r="I169" i="1"/>
  <c r="J140" i="1"/>
  <c r="F22" i="13"/>
  <c r="C22" i="13" s="1"/>
  <c r="H192" i="1"/>
  <c r="E16" i="13"/>
  <c r="C16" i="13" s="1"/>
  <c r="G36" i="2"/>
  <c r="G50" i="2" s="1"/>
  <c r="G51" i="2" s="1"/>
  <c r="G649" i="1"/>
  <c r="C111" i="2"/>
  <c r="F662" i="1"/>
  <c r="G625" i="1"/>
  <c r="J625" i="1"/>
  <c r="F62" i="2"/>
  <c r="C23" i="10"/>
  <c r="G163" i="2"/>
  <c r="C103" i="2"/>
  <c r="C31" i="2"/>
  <c r="C51" i="2"/>
  <c r="F50" i="2"/>
  <c r="G31" i="13"/>
  <c r="G33" i="13"/>
  <c r="C140" i="2"/>
  <c r="I192" i="1"/>
  <c r="J654" i="1"/>
  <c r="J32" i="1"/>
  <c r="J434" i="1"/>
  <c r="F434" i="1"/>
  <c r="K434" i="1"/>
  <c r="G134" i="2" s="1"/>
  <c r="G144" i="2" s="1"/>
  <c r="G145" i="2" s="1"/>
  <c r="G169" i="1"/>
  <c r="G140" i="1"/>
  <c r="F140" i="1"/>
  <c r="C38" i="10"/>
  <c r="G63" i="2"/>
  <c r="G42" i="2"/>
  <c r="H434" i="1"/>
  <c r="D103" i="2"/>
  <c r="I140" i="1"/>
  <c r="I193" i="1"/>
  <c r="G630" i="1" s="1"/>
  <c r="J630" i="1" s="1"/>
  <c r="G571" i="1"/>
  <c r="D17" i="13"/>
  <c r="C17" i="13"/>
  <c r="E123" i="2"/>
  <c r="L337" i="1"/>
  <c r="J257" i="1"/>
  <c r="H647" i="1"/>
  <c r="C124" i="2"/>
  <c r="G651" i="1"/>
  <c r="I662" i="1"/>
  <c r="D15" i="13"/>
  <c r="C15" i="13"/>
  <c r="D6" i="13"/>
  <c r="C6" i="13"/>
  <c r="E119" i="2"/>
  <c r="F257" i="1"/>
  <c r="F31" i="13"/>
  <c r="E110" i="2"/>
  <c r="D31" i="2"/>
  <c r="D51" i="2"/>
  <c r="E31" i="2"/>
  <c r="E51" i="2" s="1"/>
  <c r="J618" i="1"/>
  <c r="A40" i="12"/>
  <c r="B13" i="12"/>
  <c r="C10" i="12"/>
  <c r="C13" i="12" s="1"/>
  <c r="I545" i="1"/>
  <c r="J549" i="1"/>
  <c r="E8" i="13"/>
  <c r="E33" i="13" s="1"/>
  <c r="D35" i="13" s="1"/>
  <c r="C110" i="2"/>
  <c r="C20" i="10"/>
  <c r="D14" i="13"/>
  <c r="C14" i="13" s="1"/>
  <c r="C122" i="2"/>
  <c r="E13" i="13"/>
  <c r="C13" i="13"/>
  <c r="D7" i="13"/>
  <c r="C7" i="13"/>
  <c r="H257" i="1"/>
  <c r="H271" i="1"/>
  <c r="H338" i="1"/>
  <c r="H352" i="1"/>
  <c r="G338" i="1"/>
  <c r="G352" i="1" s="1"/>
  <c r="C17" i="10"/>
  <c r="C13" i="10"/>
  <c r="F338" i="1"/>
  <c r="F352" i="1" s="1"/>
  <c r="E120" i="2"/>
  <c r="L309" i="1"/>
  <c r="G660" i="1"/>
  <c r="K551" i="1"/>
  <c r="K550" i="1" l="1"/>
  <c r="G646" i="1"/>
  <c r="G631" i="1"/>
  <c r="J631" i="1" s="1"/>
  <c r="F104" i="2"/>
  <c r="C141" i="2"/>
  <c r="I571" i="1"/>
  <c r="F144" i="2"/>
  <c r="F145" i="2" s="1"/>
  <c r="E118" i="2"/>
  <c r="E128" i="2" s="1"/>
  <c r="C19" i="10"/>
  <c r="J550" i="1"/>
  <c r="J552" i="1" s="1"/>
  <c r="L544" i="1"/>
  <c r="L351" i="1"/>
  <c r="E131" i="2"/>
  <c r="C32" i="10"/>
  <c r="F52" i="1"/>
  <c r="H617" i="1" s="1"/>
  <c r="J617" i="1" s="1"/>
  <c r="G622" i="1"/>
  <c r="J622" i="1" s="1"/>
  <c r="E109" i="2"/>
  <c r="E115" i="2" s="1"/>
  <c r="L290" i="1"/>
  <c r="J643" i="1"/>
  <c r="L560" i="1"/>
  <c r="L571" i="1" s="1"/>
  <c r="G434" i="1"/>
  <c r="C70" i="2"/>
  <c r="C81" i="2" s="1"/>
  <c r="J13" i="1"/>
  <c r="G12" i="2" s="1"/>
  <c r="G18" i="2" s="1"/>
  <c r="I446" i="1"/>
  <c r="G642" i="1" s="1"/>
  <c r="J642" i="1" s="1"/>
  <c r="F18" i="2"/>
  <c r="E85" i="2"/>
  <c r="E91" i="2" s="1"/>
  <c r="H169" i="1"/>
  <c r="C39" i="10" s="1"/>
  <c r="B9" i="12"/>
  <c r="A13" i="12" s="1"/>
  <c r="G661" i="1"/>
  <c r="G664" i="1" s="1"/>
  <c r="D12" i="13"/>
  <c r="C12" i="13" s="1"/>
  <c r="C18" i="10"/>
  <c r="F33" i="13"/>
  <c r="J51" i="1"/>
  <c r="B31" i="12"/>
  <c r="C29" i="12"/>
  <c r="G81" i="2"/>
  <c r="G612" i="1"/>
  <c r="L612" i="1"/>
  <c r="G663" i="1" s="1"/>
  <c r="E144" i="2"/>
  <c r="C15" i="10"/>
  <c r="C112" i="2"/>
  <c r="L211" i="1"/>
  <c r="J655" i="1"/>
  <c r="G362" i="1"/>
  <c r="L360" i="1"/>
  <c r="F524" i="1"/>
  <c r="F545" i="1" s="1"/>
  <c r="D5" i="13"/>
  <c r="J271" i="1"/>
  <c r="L408" i="1"/>
  <c r="G193" i="1"/>
  <c r="G628" i="1" s="1"/>
  <c r="J628" i="1" s="1"/>
  <c r="C56" i="2"/>
  <c r="C63" i="2" s="1"/>
  <c r="C35" i="10"/>
  <c r="K503" i="1"/>
  <c r="L433" i="1"/>
  <c r="L434" i="1" s="1"/>
  <c r="G638" i="1" s="1"/>
  <c r="J638" i="1" s="1"/>
  <c r="C119" i="2"/>
  <c r="C128" i="2" s="1"/>
  <c r="C8" i="13"/>
  <c r="H648" i="1"/>
  <c r="J648" i="1" s="1"/>
  <c r="F271" i="1"/>
  <c r="G104" i="2"/>
  <c r="J624" i="1"/>
  <c r="K592" i="1"/>
  <c r="K598" i="1" s="1"/>
  <c r="G647" i="1" s="1"/>
  <c r="J647" i="1" s="1"/>
  <c r="F571" i="1"/>
  <c r="I549" i="1"/>
  <c r="I552" i="1" s="1"/>
  <c r="L539" i="1"/>
  <c r="L526" i="1"/>
  <c r="C11" i="10"/>
  <c r="L328" i="1"/>
  <c r="H660" i="1" s="1"/>
  <c r="G534" i="1"/>
  <c r="G521" i="1"/>
  <c r="G524" i="1" s="1"/>
  <c r="L531" i="1"/>
  <c r="B22" i="12"/>
  <c r="C20" i="12"/>
  <c r="C19" i="12" s="1"/>
  <c r="C22" i="12" s="1"/>
  <c r="K257" i="1"/>
  <c r="K271" i="1" s="1"/>
  <c r="G156" i="2"/>
  <c r="D63" i="2"/>
  <c r="D104" i="2" s="1"/>
  <c r="E56" i="2"/>
  <c r="E63" i="2" s="1"/>
  <c r="E104" i="2" s="1"/>
  <c r="H112" i="1"/>
  <c r="C25" i="10"/>
  <c r="H25" i="13"/>
  <c r="C132" i="2"/>
  <c r="E121" i="2"/>
  <c r="C121" i="2"/>
  <c r="J645" i="1"/>
  <c r="H52" i="1"/>
  <c r="H619" i="1" s="1"/>
  <c r="J619" i="1" s="1"/>
  <c r="G164" i="2"/>
  <c r="C26" i="10"/>
  <c r="C28" i="12"/>
  <c r="C31" i="12" s="1"/>
  <c r="C29" i="10"/>
  <c r="C130" i="2"/>
  <c r="K338" i="1"/>
  <c r="K352" i="1" s="1"/>
  <c r="D18" i="13"/>
  <c r="C18" i="13" s="1"/>
  <c r="C114" i="2"/>
  <c r="C120" i="2"/>
  <c r="G611" i="1"/>
  <c r="F614" i="1"/>
  <c r="D39" i="10" l="1"/>
  <c r="G667" i="1"/>
  <c r="G672" i="1"/>
  <c r="C5" i="10" s="1"/>
  <c r="H664" i="1"/>
  <c r="H646" i="1"/>
  <c r="J646" i="1" s="1"/>
  <c r="G637" i="1"/>
  <c r="J637" i="1" s="1"/>
  <c r="F660" i="1"/>
  <c r="L257" i="1"/>
  <c r="L271" i="1" s="1"/>
  <c r="G632" i="1" s="1"/>
  <c r="J632" i="1" s="1"/>
  <c r="G626" i="1"/>
  <c r="J626" i="1" s="1"/>
  <c r="J52" i="1"/>
  <c r="H621" i="1" s="1"/>
  <c r="F661" i="1"/>
  <c r="I661" i="1" s="1"/>
  <c r="L362" i="1"/>
  <c r="H661" i="1"/>
  <c r="D127" i="2"/>
  <c r="D128" i="2" s="1"/>
  <c r="D145" i="2" s="1"/>
  <c r="C104" i="2"/>
  <c r="C5" i="13"/>
  <c r="D29" i="13"/>
  <c r="C29" i="13" s="1"/>
  <c r="L338" i="1"/>
  <c r="L352" i="1" s="1"/>
  <c r="G633" i="1" s="1"/>
  <c r="J633" i="1" s="1"/>
  <c r="D31" i="13"/>
  <c r="C31" i="13" s="1"/>
  <c r="G549" i="1"/>
  <c r="G552" i="1" s="1"/>
  <c r="L529" i="1"/>
  <c r="C25" i="13"/>
  <c r="H33" i="13"/>
  <c r="A22" i="12"/>
  <c r="C36" i="10"/>
  <c r="C41" i="10"/>
  <c r="D35" i="10"/>
  <c r="C115" i="2"/>
  <c r="J19" i="1"/>
  <c r="G621" i="1" s="1"/>
  <c r="L611" i="1"/>
  <c r="G614" i="1"/>
  <c r="H549" i="1"/>
  <c r="H552" i="1" s="1"/>
  <c r="L534" i="1"/>
  <c r="C144" i="2"/>
  <c r="H193" i="1"/>
  <c r="G629" i="1" s="1"/>
  <c r="J629" i="1" s="1"/>
  <c r="G545" i="1"/>
  <c r="L521" i="1"/>
  <c r="A31" i="12"/>
  <c r="E145" i="2"/>
  <c r="L524" i="1" l="1"/>
  <c r="L545" i="1" s="1"/>
  <c r="F549" i="1"/>
  <c r="H667" i="1"/>
  <c r="H672" i="1"/>
  <c r="C6" i="10" s="1"/>
  <c r="F663" i="1"/>
  <c r="I663" i="1" s="1"/>
  <c r="L614" i="1"/>
  <c r="D37" i="10"/>
  <c r="D40" i="10"/>
  <c r="D38" i="10"/>
  <c r="D33" i="13"/>
  <c r="D36" i="13" s="1"/>
  <c r="I660" i="1"/>
  <c r="I664" i="1" s="1"/>
  <c r="C145" i="2"/>
  <c r="G635" i="1"/>
  <c r="J635" i="1" s="1"/>
  <c r="C27" i="10"/>
  <c r="D41" i="10"/>
  <c r="J621" i="1"/>
  <c r="H656" i="1"/>
  <c r="D36" i="10"/>
  <c r="I667" i="1" l="1"/>
  <c r="I672" i="1"/>
  <c r="C7" i="10" s="1"/>
  <c r="C28" i="10"/>
  <c r="F664" i="1"/>
  <c r="K549" i="1"/>
  <c r="K552" i="1" s="1"/>
  <c r="F552" i="1"/>
  <c r="F667" i="1" l="1"/>
  <c r="F672" i="1"/>
  <c r="C4" i="10" s="1"/>
  <c r="C30" i="10"/>
  <c r="D23" i="10"/>
  <c r="D12" i="10"/>
  <c r="D13" i="10"/>
  <c r="D22" i="10"/>
  <c r="D20" i="10"/>
  <c r="D21" i="10"/>
  <c r="D16" i="10"/>
  <c r="D24" i="10"/>
  <c r="D10" i="10"/>
  <c r="D17" i="10"/>
  <c r="D25" i="10"/>
  <c r="D11" i="10"/>
  <c r="D15" i="10"/>
  <c r="D26" i="10"/>
  <c r="D19" i="10"/>
  <c r="D18" i="10"/>
  <c r="D2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<sst xmlns="http://schemas.openxmlformats.org/spreadsheetml/2006/main" count="3954" uniqueCount="912">
  <si>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</si>
  <si>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</si>
  <si>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</si>
  <si>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</si>
  <si>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</si>
  <si>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</si>
  <si>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</si>
  <si>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</si>
  <si>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</si>
  <si>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</si>
  <si>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</si>
  <si>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</si>
  <si>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</si>
  <si>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</si>
  <si>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</si>
  <si>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</si>
  <si>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</si>
  <si>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</si>
  <si>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</si>
  <si>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</si>
  <si>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</si>
  <si>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</si>
  <si>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</si>
  <si>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</si>
  <si>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</si>
  <si>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</si>
  <si>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</si>
  <si>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</si>
  <si>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</si>
  <si>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</si>
  <si>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</si>
  <si>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</si>
  <si>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</si>
  <si>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</si>
  <si>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</si>
  <si>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</si>
  <si>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</si>
  <si>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</si>
  <si>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</si>
  <si>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</si>
  <si>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</si>
  <si>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</si>
  <si>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</si>
  <si>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</si>
  <si>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</si>
  <si>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</si>
  <si>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</si>
  <si>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</si>
  <si>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</si>
  <si>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</si>
  <si>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</si>
  <si>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</si>
  <si>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</si>
  <si>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</si>
  <si>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</si>
  <si>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</si>
  <si>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</si>
  <si>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</si>
  <si>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</si>
  <si>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</si>
  <si>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</si>
  <si>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</si>
  <si>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</si>
  <si>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</si>
  <si>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</si>
  <si>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</si>
  <si>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</si>
  <si>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</si>
  <si>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</si>
  <si>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</si>
  <si>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</si>
  <si>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</si>
  <si>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</si>
  <si>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</si>
  <si>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</si>
  <si>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</si>
  <si>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</si>
  <si>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</si>
  <si>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</si>
  <si>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</si>
  <si>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</si>
  <si>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</si>
  <si>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</si>
  <si>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</si>
  <si>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</si>
  <si>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</si>
  <si>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</si>
  <si>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</si>
  <si>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</si>
  <si>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</si>
  <si>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</si>
  <si>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</si>
  <si>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</si>
  <si>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</si>
  <si>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</si>
  <si>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</si>
  <si>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</si>
  <si>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</si>
  <si>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</si>
  <si>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</si>
  <si>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</si>
  <si>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</si>
  <si>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</si>
  <si>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</si>
  <si>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</si>
  <si>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</si>
  <si>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</si>
  <si>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</si>
  <si>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</si>
  <si>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</si>
  <si>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</si>
  <si>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</si>
  <si>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</si>
  <si>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</si>
  <si>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</si>
  <si>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</si>
  <si>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</si>
  <si>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</si>
  <si>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</si>
  <si>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</si>
  <si>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</si>
  <si>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</si>
  <si>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</si>
  <si>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</si>
  <si>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</si>
  <si>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</si>
  <si>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</si>
  <si>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</si>
  <si>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</si>
  <si>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</si>
  <si>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</si>
  <si>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</si>
  <si>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</si>
  <si>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</si>
  <si>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</si>
  <si>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</si>
  <si>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</si>
  <si>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</si>
  <si>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</si>
  <si>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</si>
  <si>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</si>
  <si>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</si>
  <si>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</si>
  <si>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</si>
  <si>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</si>
  <si>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</si>
  <si>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</si>
  <si>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</si>
  <si>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</si>
  <si>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</si>
  <si>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</si>
  <si>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</si>
  <si>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</si>
  <si>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</si>
  <si>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</si>
  <si>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</si>
  <si>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</si>
  <si>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</si>
  <si>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</si>
  <si>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</si>
  <si>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</si>
  <si>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</si>
  <si>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</si>
  <si>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</si>
  <si>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</si>
  <si>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</si>
  <si>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</si>
  <si>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</si>
  <si>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</si>
  <si>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</si>
  <si>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</si>
  <si>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</si>
  <si>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</si>
  <si>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</si>
  <si>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</si>
  <si>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</si>
  <si>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</si>
  <si>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</si>
  <si>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</si>
  <si>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</si>
  <si>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</si>
  <si>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</si>
  <si>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</si>
  <si>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</si>
  <si>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</si>
  <si>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</si>
  <si>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</si>
  <si>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</si>
  <si>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</si>
  <si>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</si>
  <si>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</si>
  <si>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</si>
  <si>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</si>
  <si>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</si>
  <si>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</si>
  <si>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</si>
  <si>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</si>
  <si>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</si>
  <si>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</si>
  <si>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</si>
  <si>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</si>
  <si>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</si>
  <si>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</si>
  <si>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</si>
  <si>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</si>
  <si>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</si>
  <si>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</si>
  <si>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</si>
  <si>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</si>
  <si>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</si>
  <si>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</si>
  <si>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</si>
  <si>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</si>
  <si>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</si>
  <si>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</si>
  <si>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</si>
  <si>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</si>
  <si>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</si>
  <si>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</si>
  <si>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</si>
  <si>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</si>
  <si>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</si>
  <si>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</si>
  <si>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</si>
  <si>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</si>
  <si>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</si>
  <si>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</si>
  <si>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</si>
  <si>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</si>
  <si>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</si>
  <si>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</si>
  <si>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</si>
  <si>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</si>
  <si>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</si>
  <si>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</si>
  <si>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</si>
  <si>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</si>
  <si>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</si>
  <si>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</si>
  <si>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</si>
  <si>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</si>
  <si>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</si>
  <si>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</si>
  <si>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</si>
  <si>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</si>
  <si>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</si>
  <si>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</si>
  <si>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</si>
  <si>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</si>
  <si>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</si>
  <si>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</si>
  <si>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</si>
  <si>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</si>
  <si>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</si>
  <si>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</si>
  <si>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</si>
  <si>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</si>
  <si>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</si>
  <si>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</si>
  <si>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</si>
  <si>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</si>
  <si>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</si>
  <si>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</si>
  <si>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</si>
  <si>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</si>
  <si>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</si>
  <si>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</si>
  <si>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</si>
  <si>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</si>
  <si>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</si>
  <si>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</si>
  <si>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</si>
  <si>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</si>
  <si>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</si>
  <si>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</si>
  <si>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</si>
  <si>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</si>
  <si>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</si>
  <si>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</si>
  <si>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</si>
  <si>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</si>
  <si>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</si>
  <si>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</si>
  <si>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</si>
  <si>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</si>
  <si>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</si>
  <si>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</si>
  <si>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</si>
  <si>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</si>
  <si>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</si>
  <si>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</si>
  <si>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</si>
  <si>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</si>
  <si>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</si>
  <si>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</si>
  <si>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</si>
  <si>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</si>
  <si>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</si>
  <si>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</si>
  <si>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</si>
  <si>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</si>
  <si>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</si>
  <si>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</si>
  <si>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</si>
  <si>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</si>
  <si>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</si>
  <si>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</si>
  <si>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</si>
  <si>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</si>
  <si>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</si>
  <si>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</si>
  <si>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</si>
  <si>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</si>
  <si>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</si>
  <si>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</si>
  <si>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</si>
  <si>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</si>
  <si>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</si>
  <si>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</si>
  <si>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</si>
  <si>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</si>
  <si>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</si>
  <si>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</si>
  <si>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</si>
  <si>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</si>
  <si>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</si>
  <si>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</si>
  <si>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</si>
  <si>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</si>
  <si>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</si>
  <si>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</si>
  <si>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</si>
  <si>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</si>
  <si>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</si>
  <si>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</si>
  <si>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</si>
  <si>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</si>
  <si>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</si>
  <si>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</si>
  <si>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</si>
  <si>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</si>
  <si>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</si>
  <si>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</si>
  <si>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</si>
  <si>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</si>
  <si>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</si>
  <si>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</si>
  <si>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</si>
  <si>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</si>
  <si>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</si>
  <si>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</si>
  <si>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</si>
  <si>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</si>
  <si>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</si>
  <si>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</si>
  <si>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</si>
  <si>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</si>
  <si>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</si>
  <si>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</si>
  <si>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</si>
  <si>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</si>
  <si>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</si>
  <si>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</si>
  <si>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</si>
  <si>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</si>
  <si>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</si>
  <si>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</si>
  <si>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</si>
  <si>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</si>
  <si>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</si>
  <si>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</si>
  <si>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</si>
  <si>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</si>
  <si>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</si>
  <si>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</si>
  <si>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</si>
  <si>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</si>
  <si>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</si>
  <si>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</si>
  <si>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</si>
  <si>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</si>
  <si>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</si>
  <si>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</si>
  <si>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</si>
  <si>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</si>
  <si>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</si>
  <si>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</si>
  <si>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</si>
  <si>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</si>
  <si>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</si>
  <si>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</si>
  <si>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</si>
  <si>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</si>
  <si>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</si>
  <si>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</si>
  <si>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</si>
  <si>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</si>
  <si>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</si>
  <si>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</si>
  <si>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</si>
  <si>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</si>
  <si>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</si>
  <si>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</si>
  <si>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</si>
  <si>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</si>
  <si>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</si>
  <si>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</si>
  <si>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</si>
  <si>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</si>
  <si>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</si>
  <si>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</si>
  <si>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</si>
  <si>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</si>
  <si>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</si>
  <si>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</si>
  <si>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</si>
  <si>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</si>
  <si>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</si>
  <si>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</si>
  <si>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</si>
  <si>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</si>
  <si>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</si>
  <si>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</si>
  <si>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</si>
  <si>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</si>
  <si>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</si>
  <si>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</si>
  <si>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</si>
  <si>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</si>
  <si>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</si>
  <si>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</si>
  <si>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</si>
  <si>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</si>
  <si>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</si>
  <si>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</si>
  <si>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</si>
  <si>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</si>
  <si>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</si>
  <si>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</si>
  <si>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</si>
  <si>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</si>
  <si>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</si>
  <si>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</si>
  <si>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</si>
  <si>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</si>
  <si>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</si>
  <si>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</si>
  <si>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</si>
  <si>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</si>
  <si>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</si>
  <si>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</si>
  <si>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</si>
  <si>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</si>
  <si>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</si>
  <si>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</si>
  <si>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</si>
  <si>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</si>
  <si>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</si>
  <si>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</si>
  <si>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</si>
  <si>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</si>
  <si>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</si>
  <si>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</si>
  <si>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</si>
  <si>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</si>
  <si>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</si>
  <si>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</si>
  <si>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</si>
  <si>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</si>
  <si>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</si>
  <si>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</si>
  <si>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</si>
  <si>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</si>
  <si>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</si>
  <si>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</si>
  <si>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</si>
  <si>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</si>
  <si>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</si>
  <si>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</si>
  <si>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</si>
  <si>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</si>
  <si>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</si>
  <si>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</si>
  <si>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</si>
  <si>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</si>
  <si>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</si>
  <si>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</si>
  <si>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</si>
  <si>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</si>
  <si>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</si>
  <si>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</si>
  <si>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</si>
  <si>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</si>
  <si>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</si>
  <si>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</si>
  <si>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</si>
  <si>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</si>
  <si>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</si>
  <si>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</si>
  <si>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</si>
  <si>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</si>
  <si>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</si>
  <si>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</si>
  <si>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</si>
  <si>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</si>
  <si>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</si>
  <si>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</si>
  <si>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</si>
  <si>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</si>
  <si>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</si>
  <si>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</si>
  <si>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</si>
  <si>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</si>
  <si>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</si>
  <si>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</si>
  <si>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</si>
  <si>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</si>
  <si>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</si>
  <si>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</si>
  <si>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</si>
  <si>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</si>
  <si>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</si>
  <si>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</si>
  <si>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</si>
  <si>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</si>
  <si>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</si>
  <si>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</si>
  <si>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</si>
  <si>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</si>
  <si>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</si>
  <si>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</si>
  <si>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</si>
  <si>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</si>
  <si>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</si>
  <si>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</si>
  <si>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</si>
  <si>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</si>
  <si>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</si>
  <si>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</si>
  <si>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</si>
  <si>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</si>
  <si>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</si>
  <si>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</si>
  <si>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</si>
  <si>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</si>
  <si>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</si>
  <si>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</si>
  <si>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</si>
  <si>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</si>
  <si>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</si>
  <si>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</si>
  <si>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</si>
  <si>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</si>
  <si>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</si>
  <si>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</si>
  <si>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</si>
  <si>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</si>
  <si>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</si>
  <si>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</si>
  <si>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</si>
  <si>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</si>
  <si>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</si>
  <si>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</si>
  <si>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</si>
  <si>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</si>
  <si>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</si>
  <si>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</si>
  <si>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</si>
  <si>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</si>
  <si>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</si>
  <si>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</si>
  <si>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</si>
  <si>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</si>
  <si>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</si>
  <si>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</si>
  <si>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</si>
  <si>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</si>
  <si>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</si>
  <si>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</si>
  <si>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</si>
  <si>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</si>
  <si>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</si>
  <si>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</si>
  <si>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</si>
  <si>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</si>
  <si>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</si>
  <si>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</si>
  <si>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</si>
  <si>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</si>
  <si>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</si>
  <si>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</si>
  <si>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</si>
  <si>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</si>
  <si>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</si>
  <si>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</si>
  <si>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</si>
  <si>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</si>
  <si>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</si>
  <si>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</si>
  <si>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</si>
  <si>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</si>
  <si>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</si>
  <si>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</si>
  <si>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</si>
  <si>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</si>
  <si>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</si>
  <si>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</si>
  <si>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</si>
  <si>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</si>
  <si>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</si>
  <si>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</si>
  <si>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</si>
  <si>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</si>
  <si>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</si>
  <si>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</si>
  <si>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</si>
  <si>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</si>
  <si>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</si>
  <si>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</si>
  <si>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</si>
  <si>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</si>
  <si>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</si>
  <si>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</si>
  <si>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</si>
  <si>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</si>
  <si>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</si>
  <si>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</si>
  <si>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</si>
  <si>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</si>
  <si>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</si>
  <si>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</si>
  <si>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</si>
  <si>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</si>
  <si>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</si>
  <si>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</si>
  <si>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</si>
  <si>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</si>
  <si>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</si>
  <si>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</si>
  <si>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</si>
  <si>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</si>
  <si>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</si>
  <si>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</si>
  <si>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</si>
  <si>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</si>
  <si>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</si>
  <si>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</si>
  <si>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</si>
  <si>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</si>
  <si>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</si>
  <si>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</si>
  <si>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</si>
  <si>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</si>
  <si>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</si>
  <si>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</si>
  <si>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</si>
  <si>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</si>
  <si>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</si>
  <si>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</si>
  <si>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</si>
  <si>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</si>
  <si>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</si>
  <si>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</si>
  <si>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</si>
  <si>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</si>
  <si>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</si>
  <si>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</si>
  <si>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</si>
  <si>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</si>
  <si>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</si>
  <si>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</si>
  <si>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</si>
  <si>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</si>
  <si>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</si>
  <si>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</si>
  <si>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</si>
  <si>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</si>
  <si>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</si>
  <si>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</si>
  <si>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</si>
  <si>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</si>
  <si>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</si>
  <si>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</si>
  <si>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</si>
  <si>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</si>
  <si>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</si>
  <si>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</si>
  <si>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</si>
  <si>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</si>
  <si>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</si>
  <si>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</si>
  <si>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</si>
  <si>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</si>
  <si>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</si>
  <si>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</si>
  <si>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</si>
  <si>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</si>
  <si>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</si>
  <si>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</si>
  <si>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</si>
  <si>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</si>
  <si>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</si>
  <si>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</si>
  <si>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</si>
  <si>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</si>
  <si>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</si>
  <si>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</si>
  <si>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</si>
  <si>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</si>
  <si>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</si>
  <si>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</si>
  <si>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</si>
  <si>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</si>
  <si>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</si>
  <si>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</si>
  <si>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</si>
  <si>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</si>
  <si>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</si>
  <si>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</si>
  <si>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</si>
  <si>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</si>
  <si>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</si>
  <si>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</si>
  <si>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</si>
  <si>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</si>
  <si>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</si>
  <si>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</si>
  <si>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</si>
  <si>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</si>
  <si>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</si>
  <si>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</si>
  <si>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</si>
  <si>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</si>
  <si>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</si>
  <si>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</si>
  <si>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</si>
  <si>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</si>
  <si>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</si>
  <si>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</si>
  <si>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</si>
  <si>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</si>
  <si>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</si>
  <si>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</si>
  <si>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</si>
  <si>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</si>
  <si>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</si>
  <si>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</si>
  <si>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</si>
  <si>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</si>
  <si>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</si>
  <si>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</si>
  <si>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</si>
  <si>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</si>
  <si>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</si>
  <si>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</si>
  <si>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</si>
  <si>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</si>
  <si>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</si>
  <si>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</si>
  <si>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</si>
  <si>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</si>
  <si>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</si>
  <si>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</si>
  <si>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</si>
  <si>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</si>
  <si>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</si>
  <si>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</si>
  <si>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</si>
  <si>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</si>
  <si>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</si>
  <si>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</si>
  <si>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</si>
  <si>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</si>
  <si>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</si>
  <si>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</si>
  <si>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</si>
  <si>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</si>
  <si>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</si>
  <si>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</si>
  <si>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</si>
  <si>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</si>
  <si>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</si>
  <si>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</si>
  <si>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</si>
  <si>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</si>
  <si>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</si>
  <si>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</si>
  <si>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</si>
  <si>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</si>
  <si>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</si>
  <si>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</si>
  <si>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</si>
  <si>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</si>
  <si>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</si>
  <si>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</si>
  <si>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</si>
  <si>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</si>
  <si>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</si>
  <si>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</si>
  <si>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</si>
  <si>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</si>
  <si>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</si>
  <si>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</si>
  <si>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</si>
  <si>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</si>
  <si>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</si>
  <si>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</si>
  <si>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</si>
  <si>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</si>
  <si>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</si>
  <si>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</si>
  <si>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</si>
  <si>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</si>
  <si>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</si>
  <si>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</si>
  <si>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</si>
  <si>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</si>
  <si>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</si>
  <si>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</si>
  <si>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</si>
  <si>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</si>
  <si>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</si>
  <si>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</si>
  <si>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</si>
  <si>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</si>
  <si>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</si>
  <si>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</si>
  <si>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</si>
  <si>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</si>
  <si>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</si>
  <si>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</si>
  <si>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</si>
  <si>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</si>
  <si>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</si>
  <si>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</si>
  <si>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</si>
  <si>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</si>
  <si>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</si>
  <si>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</si>
  <si>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</si>
  <si>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</si>
  <si>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</si>
  <si>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</si>
  <si>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</si>
  <si>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</si>
  <si>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</si>
  <si>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</si>
  <si>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</si>
  <si>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</si>
  <si>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</si>
  <si>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</si>
  <si>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</si>
  <si>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</si>
  <si>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</si>
  <si>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</si>
  <si>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</si>
  <si>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</si>
  <si>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</si>
  <si>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</si>
  <si>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</si>
  <si>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</si>
  <si>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</si>
  <si>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</si>
  <si>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</si>
  <si>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</si>
  <si>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</si>
  <si>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</si>
  <si>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</si>
  <si>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</si>
  <si>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</si>
  <si>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</si>
  <si>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</si>
  <si>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</si>
  <si>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</si>
  <si>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</si>
  <si>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</si>
  <si>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</si>
  <si>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</si>
  <si>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</si>
  <si>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</si>
  <si>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</si>
  <si>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</si>
  <si>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</si>
  <si>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</si>
  <si>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</si>
  <si>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</si>
  <si>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</si>
  <si>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</si>
  <si>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</si>
  <si>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</si>
  <si>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</si>
  <si>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</si>
  <si>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</si>
  <si>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</si>
  <si>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</si>
  <si>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</si>
  <si>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</si>
  <si>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</si>
  <si>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</si>
  <si>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</si>
  <si>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</si>
  <si>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</si>
  <si>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</si>
  <si>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</si>
  <si>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</si>
  <si>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</si>
  <si>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</si>
  <si>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</si>
  <si>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</si>
  <si>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</si>
  <si>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</si>
  <si>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Laconia School District SAU 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</si>
</sst>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285</v>
      </c>
      <c r="C2" s="21">
        <v>285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6254.89</v>
      </c>
      <c r="G9" s="18">
        <v>1900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806884.25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684683.31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309947.94</v>
      </c>
      <c r="G13" s="18">
        <v>54329.440000000002</v>
      </c>
      <c r="H13" s="18">
        <v>757989.02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15337.49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26068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22742.81</v>
      </c>
      <c r="G17" s="18"/>
      <c r="H17" s="18">
        <v>5173.5600000000004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10000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1855850.6900000002</v>
      </c>
      <c r="G19" s="41">
        <f>SUM(G9:G18)</f>
        <v>82297.440000000002</v>
      </c>
      <c r="H19" s="41">
        <f>SUM(H9:H18)</f>
        <v>763162.58000000007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51552.23</v>
      </c>
      <c r="H22" s="18">
        <v>633131.07999999996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1435746.82</v>
      </c>
      <c r="G24" s="18">
        <v>8088.52</v>
      </c>
      <c r="H24" s="18">
        <v>32121.05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40127.760000000002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97910.45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379976.11</v>
      </c>
      <c r="G31" s="18">
        <v>897.74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1855850.69</v>
      </c>
      <c r="G32" s="41">
        <f>SUM(G22:G31)</f>
        <v>60538.49</v>
      </c>
      <c r="H32" s="41">
        <f>SUM(H22:H31)</f>
        <v>763162.58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21758.95</v>
      </c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21758.95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1855850.69</v>
      </c>
      <c r="G52" s="41">
        <f>G51+G32</f>
        <v>82297.440000000002</v>
      </c>
      <c r="H52" s="41">
        <f>H51+H32</f>
        <v>763162.58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17527828.870000001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17527828.870000001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148449.98000000001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2707.16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84210.35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4359.51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400962.56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65000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557239.58000000007</v>
      </c>
      <c r="G79" s="45" t="s">
        <v>289</v>
      </c>
      <c r="H79" s="41">
        <f>SUM(H63:H78)</f>
        <v>148449.98000000001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347334.39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5281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560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47980.15</v>
      </c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679.19</v>
      </c>
      <c r="G110" s="18"/>
      <c r="H110" s="18">
        <v>133290.99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6520.1900000000005</v>
      </c>
      <c r="G111" s="41">
        <f>SUM(G96:G110)</f>
        <v>347334.39</v>
      </c>
      <c r="H111" s="41">
        <f>SUM(H96:H110)</f>
        <v>181271.13999999998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18091588.640000004</v>
      </c>
      <c r="G112" s="41">
        <f>G60+G111</f>
        <v>347334.39</v>
      </c>
      <c r="H112" s="41">
        <f>H60+H79+H94+H111</f>
        <v>329721.12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6123817.3399999999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4608269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>
        <v>59954.01</v>
      </c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10732086.34</v>
      </c>
      <c r="G121" s="41">
        <f>SUM(G117:G120)</f>
        <v>59954.01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774070.3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65549.919999999998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1132372.8600000001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15186.27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33202.92</v>
      </c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1971993.08</v>
      </c>
      <c r="G136" s="41">
        <f>SUM(G123:G135)</f>
        <v>15186.27</v>
      </c>
      <c r="H136" s="41">
        <f>SUM(H123:H135)</f>
        <v>33202.92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12704079.42</v>
      </c>
      <c r="G140" s="41">
        <f>G121+SUM(G136:G137)</f>
        <v>75140.28</v>
      </c>
      <c r="H140" s="41">
        <f>H121+SUM(H136:H139)</f>
        <v>33202.92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103202.54</v>
      </c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165369.26999999999</v>
      </c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1214104.79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1466176.66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173546.34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249132.81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791684.23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410408.97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41402.94</v>
      </c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410408.97</v>
      </c>
      <c r="G162" s="41">
        <f>SUM(G150:G161)</f>
        <v>791684.23</v>
      </c>
      <c r="H162" s="41">
        <f>SUM(H150:H161)</f>
        <v>3412935.3499999996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410408.97</v>
      </c>
      <c r="G169" s="41">
        <f>G147+G162+SUM(G163:G168)</f>
        <v>791684.23</v>
      </c>
      <c r="H169" s="41">
        <f>H147+H162+SUM(H163:H168)</f>
        <v>3412935.3499999996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>
        <v>425000</v>
      </c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425000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425000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31206077.030000001</v>
      </c>
      <c r="G193" s="47">
        <f>G112+G140+G169+G192</f>
        <v>1214158.8999999999</v>
      </c>
      <c r="H193" s="47">
        <f>H112+H140+H169+H192</f>
        <v>4200859.3899999997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3075673.79-0.05</f>
        <v>3075673.74</v>
      </c>
      <c r="G197" s="18">
        <v>1508537.71</v>
      </c>
      <c r="H197" s="18">
        <v>54283.96</v>
      </c>
      <c r="I197" s="18">
        <v>144507.70000000001</v>
      </c>
      <c r="J197" s="18">
        <v>9935.94</v>
      </c>
      <c r="K197" s="18"/>
      <c r="L197" s="19">
        <f>SUM(F197:K197)</f>
        <v>4792939.0500000007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1268722.48</v>
      </c>
      <c r="G198" s="18">
        <v>624233.87</v>
      </c>
      <c r="H198" s="18">
        <v>778060.6</v>
      </c>
      <c r="I198" s="18">
        <v>5338.39</v>
      </c>
      <c r="J198" s="18">
        <v>425.73</v>
      </c>
      <c r="K198" s="18">
        <v>1070.6500000000001</v>
      </c>
      <c r="L198" s="19">
        <f>SUM(F198:K198)</f>
        <v>2677851.7200000002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11942.05</v>
      </c>
      <c r="G200" s="18">
        <v>6070.57</v>
      </c>
      <c r="H200" s="18"/>
      <c r="I200" s="18"/>
      <c r="J200" s="18"/>
      <c r="K200" s="18"/>
      <c r="L200" s="19">
        <f>SUM(F200:K200)</f>
        <v>18012.62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602924.54</v>
      </c>
      <c r="G202" s="18">
        <v>295940.5</v>
      </c>
      <c r="H202" s="18">
        <v>92375.360000000001</v>
      </c>
      <c r="I202" s="18">
        <v>6837.79</v>
      </c>
      <c r="J202" s="18">
        <v>66</v>
      </c>
      <c r="K202" s="18"/>
      <c r="L202" s="19">
        <f t="shared" ref="L202:L208" si="0">SUM(F202:K202)</f>
        <v>998144.19000000006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214186.69</v>
      </c>
      <c r="G203" s="18">
        <v>143476.41</v>
      </c>
      <c r="H203" s="18">
        <v>42161.32</v>
      </c>
      <c r="I203" s="18">
        <v>37547.96</v>
      </c>
      <c r="J203" s="18">
        <v>22648.71</v>
      </c>
      <c r="K203" s="18">
        <v>-0.35</v>
      </c>
      <c r="L203" s="19">
        <f t="shared" si="0"/>
        <v>460020.74000000005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228984.82</v>
      </c>
      <c r="G204" s="18">
        <v>116325.52</v>
      </c>
      <c r="H204" s="18">
        <v>65143.6</v>
      </c>
      <c r="I204" s="18">
        <v>2569.5300000000002</v>
      </c>
      <c r="J204" s="18"/>
      <c r="K204" s="18">
        <v>14700.98</v>
      </c>
      <c r="L204" s="19">
        <f t="shared" si="0"/>
        <v>427724.45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500297.6</v>
      </c>
      <c r="G205" s="18">
        <v>249099.44</v>
      </c>
      <c r="H205" s="18">
        <v>11500.32</v>
      </c>
      <c r="I205" s="18">
        <v>4529.66</v>
      </c>
      <c r="J205" s="18"/>
      <c r="K205" s="18">
        <v>1509</v>
      </c>
      <c r="L205" s="19">
        <f t="shared" si="0"/>
        <v>766936.02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112197.15</v>
      </c>
      <c r="G206" s="18">
        <v>56373.97</v>
      </c>
      <c r="H206" s="18">
        <v>55944.63</v>
      </c>
      <c r="I206" s="18">
        <v>509.68</v>
      </c>
      <c r="J206" s="18">
        <v>587.02</v>
      </c>
      <c r="K206" s="18"/>
      <c r="L206" s="19">
        <f t="shared" si="0"/>
        <v>225612.44999999998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301318.02</v>
      </c>
      <c r="G207" s="18">
        <v>147970.25</v>
      </c>
      <c r="H207" s="18">
        <v>227223.95</v>
      </c>
      <c r="I207" s="18">
        <v>285725.24</v>
      </c>
      <c r="J207" s="18">
        <v>6794.68</v>
      </c>
      <c r="K207" s="18"/>
      <c r="L207" s="19">
        <f t="shared" si="0"/>
        <v>969032.14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330728.03999999998</v>
      </c>
      <c r="I208" s="18"/>
      <c r="J208" s="18"/>
      <c r="K208" s="18"/>
      <c r="L208" s="19">
        <f t="shared" si="0"/>
        <v>330728.03999999998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6316247.0900000017</v>
      </c>
      <c r="G211" s="41">
        <f t="shared" si="1"/>
        <v>3148028.24</v>
      </c>
      <c r="H211" s="41">
        <f t="shared" si="1"/>
        <v>1657421.7799999998</v>
      </c>
      <c r="I211" s="41">
        <f t="shared" si="1"/>
        <v>487565.95</v>
      </c>
      <c r="J211" s="41">
        <f t="shared" si="1"/>
        <v>40458.079999999994</v>
      </c>
      <c r="K211" s="41">
        <f t="shared" si="1"/>
        <v>17280.28</v>
      </c>
      <c r="L211" s="41">
        <f t="shared" si="1"/>
        <v>11667001.42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2033080.4</v>
      </c>
      <c r="G215" s="18">
        <v>997091.83</v>
      </c>
      <c r="H215" s="18">
        <v>38881.81</v>
      </c>
      <c r="I215" s="18">
        <v>62077.24</v>
      </c>
      <c r="J215" s="18">
        <v>20727.259999999998</v>
      </c>
      <c r="K215" s="18"/>
      <c r="L215" s="19">
        <f>SUM(F215:K215)</f>
        <v>3151858.54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690878.47</v>
      </c>
      <c r="G216" s="18">
        <v>338434.52</v>
      </c>
      <c r="H216" s="18">
        <v>212111.92</v>
      </c>
      <c r="I216" s="18">
        <v>8053.11</v>
      </c>
      <c r="J216" s="18">
        <v>239.87</v>
      </c>
      <c r="K216" s="18">
        <v>680</v>
      </c>
      <c r="L216" s="19">
        <f>SUM(F216:K216)</f>
        <v>1250397.8900000001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48648.28</v>
      </c>
      <c r="G218" s="18">
        <v>23523.48</v>
      </c>
      <c r="H218" s="18">
        <v>9326</v>
      </c>
      <c r="I218" s="18">
        <v>6474.27</v>
      </c>
      <c r="J218" s="18"/>
      <c r="K218" s="18"/>
      <c r="L218" s="19">
        <f>SUM(F218:K218)</f>
        <v>87972.03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204286.5</v>
      </c>
      <c r="G220" s="18">
        <v>100164.47</v>
      </c>
      <c r="H220" s="18">
        <v>43666.89</v>
      </c>
      <c r="I220" s="18">
        <v>3178.21</v>
      </c>
      <c r="J220" s="18"/>
      <c r="K220" s="18"/>
      <c r="L220" s="19">
        <f t="shared" ref="L220:L226" si="2">SUM(F220:K220)</f>
        <v>351296.07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111962.86</v>
      </c>
      <c r="G221" s="18">
        <v>71246.16</v>
      </c>
      <c r="H221" s="18">
        <v>22066.94</v>
      </c>
      <c r="I221" s="18">
        <v>18293.12</v>
      </c>
      <c r="J221" s="18">
        <v>6746.29</v>
      </c>
      <c r="K221" s="18">
        <v>-0.15</v>
      </c>
      <c r="L221" s="19">
        <f t="shared" si="2"/>
        <v>230315.22000000003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125154.5</v>
      </c>
      <c r="G222" s="18">
        <v>63187.37</v>
      </c>
      <c r="H222" s="18">
        <v>28745.4</v>
      </c>
      <c r="I222" s="18">
        <v>1101.23</v>
      </c>
      <c r="J222" s="18"/>
      <c r="K222" s="18">
        <v>6300.42</v>
      </c>
      <c r="L222" s="19">
        <f t="shared" si="2"/>
        <v>224488.92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265579.14</v>
      </c>
      <c r="G223" s="18">
        <v>134517.34</v>
      </c>
      <c r="H223" s="18">
        <v>17436.86</v>
      </c>
      <c r="I223" s="18">
        <v>1439.95</v>
      </c>
      <c r="J223" s="18"/>
      <c r="K223" s="18">
        <v>1629.78</v>
      </c>
      <c r="L223" s="19">
        <f t="shared" si="2"/>
        <v>420603.07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48084.49</v>
      </c>
      <c r="G224" s="18">
        <v>23943.48</v>
      </c>
      <c r="H224" s="18">
        <v>23976.27</v>
      </c>
      <c r="I224" s="18">
        <v>218.43</v>
      </c>
      <c r="J224" s="18">
        <v>251.58</v>
      </c>
      <c r="K224" s="18"/>
      <c r="L224" s="19">
        <f t="shared" si="2"/>
        <v>96474.25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209857.44</v>
      </c>
      <c r="G225" s="18">
        <v>103199.76</v>
      </c>
      <c r="H225" s="18">
        <v>128773.59</v>
      </c>
      <c r="I225" s="18">
        <v>234313.12</v>
      </c>
      <c r="J225" s="18">
        <v>4009.83</v>
      </c>
      <c r="K225" s="18"/>
      <c r="L225" s="19">
        <f t="shared" si="2"/>
        <v>680153.74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168637.73</v>
      </c>
      <c r="I226" s="18"/>
      <c r="J226" s="18"/>
      <c r="K226" s="18"/>
      <c r="L226" s="19">
        <f t="shared" si="2"/>
        <v>168637.73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3737532.08</v>
      </c>
      <c r="G229" s="41">
        <f>SUM(G215:G228)</f>
        <v>1855308.4100000001</v>
      </c>
      <c r="H229" s="41">
        <f>SUM(H215:H228)</f>
        <v>693623.41</v>
      </c>
      <c r="I229" s="41">
        <f>SUM(I215:I228)</f>
        <v>335148.68</v>
      </c>
      <c r="J229" s="41">
        <f>SUM(J215:J228)</f>
        <v>31974.83</v>
      </c>
      <c r="K229" s="41">
        <f t="shared" si="3"/>
        <v>8610.0500000000011</v>
      </c>
      <c r="L229" s="41">
        <f t="shared" si="3"/>
        <v>6662197.4600000009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2187685.1</v>
      </c>
      <c r="G233" s="18">
        <v>1072974.01</v>
      </c>
      <c r="H233" s="18">
        <v>64059.32</v>
      </c>
      <c r="I233" s="18">
        <v>105644.69</v>
      </c>
      <c r="J233" s="18">
        <v>23350</v>
      </c>
      <c r="K233" s="18"/>
      <c r="L233" s="19">
        <f>SUM(F233:K233)</f>
        <v>3453713.12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764589.6</v>
      </c>
      <c r="G234" s="18">
        <v>376857.96</v>
      </c>
      <c r="H234" s="18">
        <v>362618.22</v>
      </c>
      <c r="I234" s="18">
        <v>3827.28</v>
      </c>
      <c r="J234" s="18">
        <v>809.34</v>
      </c>
      <c r="K234" s="18">
        <v>530</v>
      </c>
      <c r="L234" s="19">
        <f>SUM(F234:K234)</f>
        <v>1509232.4000000001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951806.11</v>
      </c>
      <c r="G235" s="18">
        <v>467335.4</v>
      </c>
      <c r="H235" s="18">
        <v>21449.47</v>
      </c>
      <c r="I235" s="18">
        <v>57036.38</v>
      </c>
      <c r="J235" s="18">
        <v>2761.01</v>
      </c>
      <c r="K235" s="18">
        <v>150.97999999999999</v>
      </c>
      <c r="L235" s="19">
        <f>SUM(F235:K235)</f>
        <v>1500539.3499999999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164681.46</v>
      </c>
      <c r="G236" s="18">
        <v>80435.100000000006</v>
      </c>
      <c r="H236" s="18">
        <v>66251.95</v>
      </c>
      <c r="I236" s="18">
        <v>12186.16</v>
      </c>
      <c r="J236" s="18"/>
      <c r="K236" s="18"/>
      <c r="L236" s="19">
        <f>SUM(F236:K236)</f>
        <v>323554.67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199201</v>
      </c>
      <c r="G238" s="18">
        <v>97888.02</v>
      </c>
      <c r="H238" s="18">
        <v>37236.9</v>
      </c>
      <c r="I238" s="18">
        <v>2196.86</v>
      </c>
      <c r="J238" s="18"/>
      <c r="K238" s="18"/>
      <c r="L238" s="19">
        <f t="shared" ref="L238:L244" si="4">SUM(F238:K238)</f>
        <v>336522.78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128877.44</v>
      </c>
      <c r="G239" s="18">
        <v>86712.21</v>
      </c>
      <c r="H239" s="18">
        <v>27587.02</v>
      </c>
      <c r="I239" s="18">
        <v>36813.69</v>
      </c>
      <c r="J239" s="18">
        <v>18889.97</v>
      </c>
      <c r="K239" s="18">
        <v>-0.21</v>
      </c>
      <c r="L239" s="19">
        <f t="shared" si="4"/>
        <v>298880.11999999994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219685.93</v>
      </c>
      <c r="G240" s="18">
        <v>110213.87</v>
      </c>
      <c r="H240" s="18">
        <v>38922.01</v>
      </c>
      <c r="I240" s="18">
        <v>1573.18</v>
      </c>
      <c r="J240" s="18"/>
      <c r="K240" s="18">
        <v>9000.6</v>
      </c>
      <c r="L240" s="19">
        <f t="shared" si="4"/>
        <v>379395.58999999997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325813.82</v>
      </c>
      <c r="G241" s="18">
        <v>162111.4</v>
      </c>
      <c r="H241" s="18">
        <v>18978.330000000002</v>
      </c>
      <c r="I241" s="18">
        <v>1696.84</v>
      </c>
      <c r="J241" s="18"/>
      <c r="K241" s="18">
        <v>5583.36</v>
      </c>
      <c r="L241" s="19">
        <f t="shared" si="4"/>
        <v>514183.75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68692.13</v>
      </c>
      <c r="G242" s="18">
        <v>33988.160000000003</v>
      </c>
      <c r="H242" s="18">
        <v>34251.82</v>
      </c>
      <c r="I242" s="18">
        <v>312.05</v>
      </c>
      <c r="J242" s="18">
        <v>359.4</v>
      </c>
      <c r="K242" s="18"/>
      <c r="L242" s="19">
        <f t="shared" si="4"/>
        <v>137603.56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275617.06</v>
      </c>
      <c r="G243" s="18">
        <v>135070.28</v>
      </c>
      <c r="H243" s="18">
        <v>251998.06</v>
      </c>
      <c r="I243" s="18">
        <v>288656.59000000003</v>
      </c>
      <c r="J243" s="18">
        <v>2892.4</v>
      </c>
      <c r="K243" s="18"/>
      <c r="L243" s="19">
        <f t="shared" si="4"/>
        <v>954234.39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257766.93</v>
      </c>
      <c r="I244" s="18"/>
      <c r="J244" s="18"/>
      <c r="K244" s="18"/>
      <c r="L244" s="19">
        <f t="shared" si="4"/>
        <v>257766.93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5286649.6499999994</v>
      </c>
      <c r="G247" s="41">
        <f t="shared" si="5"/>
        <v>2623586.41</v>
      </c>
      <c r="H247" s="41">
        <f t="shared" si="5"/>
        <v>1181120.0299999998</v>
      </c>
      <c r="I247" s="41">
        <f t="shared" si="5"/>
        <v>509943.72</v>
      </c>
      <c r="J247" s="41">
        <f t="shared" si="5"/>
        <v>49062.12</v>
      </c>
      <c r="K247" s="41">
        <f t="shared" si="5"/>
        <v>15264.73</v>
      </c>
      <c r="L247" s="41">
        <f t="shared" si="5"/>
        <v>9665626.6600000001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133652.64000000001</v>
      </c>
      <c r="G251" s="18">
        <v>67258.67</v>
      </c>
      <c r="H251" s="18">
        <v>7036.35</v>
      </c>
      <c r="I251" s="18">
        <v>12971.21</v>
      </c>
      <c r="J251" s="18">
        <v>4645</v>
      </c>
      <c r="K251" s="18">
        <v>2675</v>
      </c>
      <c r="L251" s="19">
        <f t="shared" si="6"/>
        <v>228238.87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34969.199999999997</v>
      </c>
      <c r="I255" s="18"/>
      <c r="J255" s="18"/>
      <c r="K255" s="18"/>
      <c r="L255" s="19">
        <f t="shared" si="6"/>
        <v>34969.199999999997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133652.64000000001</v>
      </c>
      <c r="G256" s="41">
        <f t="shared" si="7"/>
        <v>67258.67</v>
      </c>
      <c r="H256" s="41">
        <f t="shared" si="7"/>
        <v>42005.549999999996</v>
      </c>
      <c r="I256" s="41">
        <f t="shared" si="7"/>
        <v>12971.21</v>
      </c>
      <c r="J256" s="41">
        <f t="shared" si="7"/>
        <v>4645</v>
      </c>
      <c r="K256" s="41">
        <f t="shared" si="7"/>
        <v>2675</v>
      </c>
      <c r="L256" s="41">
        <f>SUM(F256:K256)</f>
        <v>263208.06999999995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15474081.460000001</v>
      </c>
      <c r="G257" s="41">
        <f t="shared" si="8"/>
        <v>7694181.7300000004</v>
      </c>
      <c r="H257" s="41">
        <f t="shared" si="8"/>
        <v>3574170.7699999996</v>
      </c>
      <c r="I257" s="41">
        <f t="shared" si="8"/>
        <v>1345629.56</v>
      </c>
      <c r="J257" s="41">
        <f t="shared" si="8"/>
        <v>126140.03</v>
      </c>
      <c r="K257" s="41">
        <f t="shared" si="8"/>
        <v>43830.06</v>
      </c>
      <c r="L257" s="41">
        <f t="shared" si="8"/>
        <v>28258033.610000003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1882903.37</v>
      </c>
      <c r="L260" s="19">
        <f>SUM(F260:K260)</f>
        <v>1882903.37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640140.05000000005</v>
      </c>
      <c r="L261" s="19">
        <f>SUM(F261:K261)</f>
        <v>640140.05000000005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425000</v>
      </c>
      <c r="L264" s="19">
        <f t="shared" ref="L264:L270" si="9">SUM(F264:K264)</f>
        <v>425000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2948043.42</v>
      </c>
      <c r="L270" s="41">
        <f t="shared" si="9"/>
        <v>2948043.42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15474081.460000001</v>
      </c>
      <c r="G271" s="42">
        <f t="shared" si="11"/>
        <v>7694181.7300000004</v>
      </c>
      <c r="H271" s="42">
        <f t="shared" si="11"/>
        <v>3574170.7699999996</v>
      </c>
      <c r="I271" s="42">
        <f t="shared" si="11"/>
        <v>1345629.56</v>
      </c>
      <c r="J271" s="42">
        <f t="shared" si="11"/>
        <v>126140.03</v>
      </c>
      <c r="K271" s="42">
        <f t="shared" si="11"/>
        <v>2991873.48</v>
      </c>
      <c r="L271" s="42">
        <f t="shared" si="11"/>
        <v>31206077.030000001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563236.06-0.12</f>
        <v>563235.94000000006</v>
      </c>
      <c r="G276" s="18">
        <v>148743.66</v>
      </c>
      <c r="H276" s="18">
        <v>132341.67000000001</v>
      </c>
      <c r="I276" s="18">
        <v>103589.23</v>
      </c>
      <c r="J276" s="18">
        <v>4475.7</v>
      </c>
      <c r="K276" s="18"/>
      <c r="L276" s="19">
        <f>SUM(F276:K276)</f>
        <v>952386.20000000007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210543.52</v>
      </c>
      <c r="G277" s="18">
        <v>78860.75</v>
      </c>
      <c r="H277" s="18">
        <v>4804.3999999999996</v>
      </c>
      <c r="I277" s="18">
        <v>79.61</v>
      </c>
      <c r="J277" s="18">
        <v>1669.04</v>
      </c>
      <c r="K277" s="18"/>
      <c r="L277" s="19">
        <f>SUM(F277:K277)</f>
        <v>295957.32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178930.96</v>
      </c>
      <c r="G279" s="18">
        <v>13573.95</v>
      </c>
      <c r="H279" s="18"/>
      <c r="I279" s="18">
        <v>7853.18</v>
      </c>
      <c r="J279" s="18"/>
      <c r="K279" s="18"/>
      <c r="L279" s="19">
        <f>SUM(F279:K279)</f>
        <v>200358.09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31247.78</v>
      </c>
      <c r="G281" s="18">
        <v>6015.12</v>
      </c>
      <c r="H281" s="18">
        <v>27021.94</v>
      </c>
      <c r="I281" s="18">
        <v>1999.93</v>
      </c>
      <c r="J281" s="18">
        <v>185.71</v>
      </c>
      <c r="K281" s="18"/>
      <c r="L281" s="19">
        <f t="shared" ref="L281:L287" si="12">SUM(F281:K281)</f>
        <v>66470.48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49660.57</v>
      </c>
      <c r="G282" s="18">
        <v>28174.37</v>
      </c>
      <c r="H282" s="18">
        <v>68890.11</v>
      </c>
      <c r="I282" s="18">
        <v>4655.8599999999997</v>
      </c>
      <c r="J282" s="18">
        <v>1388.63</v>
      </c>
      <c r="K282" s="18"/>
      <c r="L282" s="19">
        <f t="shared" si="12"/>
        <v>152769.53999999998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95903.98</v>
      </c>
      <c r="G283" s="18">
        <v>25784.99</v>
      </c>
      <c r="H283" s="18">
        <v>98326.62</v>
      </c>
      <c r="I283" s="18">
        <v>3565.41</v>
      </c>
      <c r="J283" s="18">
        <v>2228.0500000000002</v>
      </c>
      <c r="K283" s="18"/>
      <c r="L283" s="19">
        <f t="shared" si="12"/>
        <v>225809.05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1129522.75</v>
      </c>
      <c r="G290" s="42">
        <f t="shared" si="13"/>
        <v>301152.84000000003</v>
      </c>
      <c r="H290" s="42">
        <f t="shared" si="13"/>
        <v>331384.74</v>
      </c>
      <c r="I290" s="42">
        <f t="shared" si="13"/>
        <v>121743.21999999999</v>
      </c>
      <c r="J290" s="42">
        <f t="shared" si="13"/>
        <v>9947.130000000001</v>
      </c>
      <c r="K290" s="42">
        <f t="shared" si="13"/>
        <v>0</v>
      </c>
      <c r="L290" s="41">
        <f t="shared" si="13"/>
        <v>1893750.6800000002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53146.21</v>
      </c>
      <c r="G295" s="18">
        <v>66693.789999999994</v>
      </c>
      <c r="H295" s="18">
        <v>3753.59</v>
      </c>
      <c r="I295" s="18">
        <v>11650.6</v>
      </c>
      <c r="J295" s="18">
        <v>6517.93</v>
      </c>
      <c r="K295" s="18"/>
      <c r="L295" s="19">
        <f>SUM(F295:K295)</f>
        <v>141762.12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79751.960000000006</v>
      </c>
      <c r="G296" s="18">
        <v>33602.94</v>
      </c>
      <c r="H296" s="18">
        <v>2059.0300000000002</v>
      </c>
      <c r="I296" s="18">
        <v>-51.57</v>
      </c>
      <c r="J296" s="18">
        <v>715.31</v>
      </c>
      <c r="K296" s="18"/>
      <c r="L296" s="19">
        <f>SUM(F296:K296)</f>
        <v>116077.67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75429.429999999993</v>
      </c>
      <c r="G298" s="18">
        <v>5817.4</v>
      </c>
      <c r="H298" s="18"/>
      <c r="I298" s="18">
        <v>3365.65</v>
      </c>
      <c r="J298" s="18"/>
      <c r="K298" s="18"/>
      <c r="L298" s="19">
        <f>SUM(F298:K298)</f>
        <v>84612.479999999981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13391.91</v>
      </c>
      <c r="G300" s="18">
        <v>2577.91</v>
      </c>
      <c r="H300" s="18">
        <v>3009.41</v>
      </c>
      <c r="I300" s="18">
        <v>857.11</v>
      </c>
      <c r="J300" s="18">
        <v>79.59</v>
      </c>
      <c r="K300" s="18"/>
      <c r="L300" s="19">
        <f t="shared" ref="L300:L306" si="14">SUM(F300:K300)</f>
        <v>19915.93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21283.1</v>
      </c>
      <c r="G301" s="18">
        <v>12074.73</v>
      </c>
      <c r="H301" s="18">
        <v>27910.97</v>
      </c>
      <c r="I301" s="18">
        <v>1995.38</v>
      </c>
      <c r="J301" s="18">
        <v>595.13</v>
      </c>
      <c r="K301" s="18"/>
      <c r="L301" s="19">
        <f t="shared" si="14"/>
        <v>63859.31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41101.71</v>
      </c>
      <c r="G302" s="18">
        <v>11050.72</v>
      </c>
      <c r="H302" s="18">
        <v>42139.98</v>
      </c>
      <c r="I302" s="18">
        <v>1528.04</v>
      </c>
      <c r="J302" s="18">
        <v>918.81</v>
      </c>
      <c r="K302" s="18"/>
      <c r="L302" s="19">
        <f t="shared" si="14"/>
        <v>96739.26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284104.32000000001</v>
      </c>
      <c r="G309" s="42">
        <f t="shared" si="15"/>
        <v>131817.49</v>
      </c>
      <c r="H309" s="42">
        <f t="shared" si="15"/>
        <v>78872.98000000001</v>
      </c>
      <c r="I309" s="42">
        <f t="shared" si="15"/>
        <v>19345.210000000003</v>
      </c>
      <c r="J309" s="42">
        <f t="shared" si="15"/>
        <v>8826.77</v>
      </c>
      <c r="K309" s="42">
        <f t="shared" si="15"/>
        <v>0</v>
      </c>
      <c r="L309" s="41">
        <f t="shared" si="15"/>
        <v>522966.76999999996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152582.62</v>
      </c>
      <c r="G314" s="18">
        <v>143092.25</v>
      </c>
      <c r="H314" s="18">
        <v>20055.3</v>
      </c>
      <c r="I314" s="18">
        <v>19804.599999999999</v>
      </c>
      <c r="J314" s="18">
        <v>2740.23</v>
      </c>
      <c r="K314" s="18"/>
      <c r="L314" s="19">
        <f>SUM(F314:K314)</f>
        <v>338274.99999999994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114867.86</v>
      </c>
      <c r="G315" s="18">
        <v>48075.7</v>
      </c>
      <c r="H315" s="18">
        <v>2941.47</v>
      </c>
      <c r="I315" s="18">
        <v>43.75</v>
      </c>
      <c r="J315" s="18">
        <v>1021.86</v>
      </c>
      <c r="K315" s="18"/>
      <c r="L315" s="19">
        <f>SUM(F315:K315)</f>
        <v>166950.63999999998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52335.63</v>
      </c>
      <c r="G316" s="18">
        <v>1243.08</v>
      </c>
      <c r="H316" s="18">
        <v>21738.46</v>
      </c>
      <c r="I316" s="18">
        <v>22217.42</v>
      </c>
      <c r="J316" s="18">
        <v>64882.02</v>
      </c>
      <c r="K316" s="18">
        <v>7257.76</v>
      </c>
      <c r="L316" s="19">
        <f>SUM(F316:K316)</f>
        <v>169674.37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107756.33</v>
      </c>
      <c r="G317" s="18">
        <v>8310.58</v>
      </c>
      <c r="H317" s="18"/>
      <c r="I317" s="18">
        <v>4808.07</v>
      </c>
      <c r="J317" s="18"/>
      <c r="K317" s="18"/>
      <c r="L317" s="19">
        <f>SUM(F317:K317)</f>
        <v>120874.98000000001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19131.29</v>
      </c>
      <c r="G319" s="18">
        <v>3682.73</v>
      </c>
      <c r="H319" s="18">
        <v>7644.12</v>
      </c>
      <c r="I319" s="18">
        <v>1615.26</v>
      </c>
      <c r="J319" s="18">
        <v>113.7</v>
      </c>
      <c r="K319" s="18"/>
      <c r="L319" s="19">
        <f t="shared" ref="L319:L325" si="16">SUM(F319:K319)</f>
        <v>32187.1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37404.43</v>
      </c>
      <c r="G320" s="18">
        <v>17249.61</v>
      </c>
      <c r="H320" s="18">
        <v>46612.47</v>
      </c>
      <c r="I320" s="18">
        <v>2850.53</v>
      </c>
      <c r="J320" s="18">
        <v>995.57</v>
      </c>
      <c r="K320" s="18"/>
      <c r="L320" s="19">
        <f t="shared" si="16"/>
        <v>105112.61000000002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58716.61</v>
      </c>
      <c r="G321" s="18">
        <v>15786.73</v>
      </c>
      <c r="H321" s="18">
        <v>60199.98</v>
      </c>
      <c r="I321" s="18">
        <v>2182.91</v>
      </c>
      <c r="J321" s="18">
        <v>1362.02</v>
      </c>
      <c r="K321" s="18"/>
      <c r="L321" s="19">
        <f t="shared" si="16"/>
        <v>138248.25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3483</v>
      </c>
      <c r="I324" s="18"/>
      <c r="J324" s="18"/>
      <c r="K324" s="18"/>
      <c r="L324" s="19">
        <f t="shared" si="16"/>
        <v>3483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707.68</v>
      </c>
      <c r="I325" s="18"/>
      <c r="J325" s="18"/>
      <c r="K325" s="18"/>
      <c r="L325" s="19">
        <f t="shared" si="16"/>
        <v>707.68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542794.77</v>
      </c>
      <c r="G328" s="42">
        <f t="shared" si="17"/>
        <v>237440.68000000002</v>
      </c>
      <c r="H328" s="42">
        <f t="shared" si="17"/>
        <v>163382.48000000001</v>
      </c>
      <c r="I328" s="42">
        <f t="shared" si="17"/>
        <v>53522.539999999994</v>
      </c>
      <c r="J328" s="42">
        <f t="shared" si="17"/>
        <v>71115.400000000009</v>
      </c>
      <c r="K328" s="42">
        <f t="shared" si="17"/>
        <v>7257.76</v>
      </c>
      <c r="L328" s="41">
        <f t="shared" si="17"/>
        <v>1075513.6299999997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21943.79</v>
      </c>
      <c r="I332" s="18"/>
      <c r="J332" s="18"/>
      <c r="K332" s="18"/>
      <c r="L332" s="19">
        <f t="shared" ref="L332:L337" si="18">SUM(F332:K332)</f>
        <v>21943.79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184643</v>
      </c>
      <c r="G333" s="18">
        <v>18684.57</v>
      </c>
      <c r="H333" s="18">
        <v>31660</v>
      </c>
      <c r="I333" s="18">
        <v>16502.240000000002</v>
      </c>
      <c r="J333" s="18"/>
      <c r="K333" s="18">
        <v>200</v>
      </c>
      <c r="L333" s="19">
        <f t="shared" si="18"/>
        <v>251689.81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184643</v>
      </c>
      <c r="G337" s="41">
        <f t="shared" si="19"/>
        <v>18684.57</v>
      </c>
      <c r="H337" s="41">
        <f t="shared" si="19"/>
        <v>53603.79</v>
      </c>
      <c r="I337" s="41">
        <f t="shared" si="19"/>
        <v>16502.240000000002</v>
      </c>
      <c r="J337" s="41">
        <f t="shared" si="19"/>
        <v>0</v>
      </c>
      <c r="K337" s="41">
        <f t="shared" si="19"/>
        <v>200</v>
      </c>
      <c r="L337" s="41">
        <f t="shared" si="18"/>
        <v>273633.60000000003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2141064.84</v>
      </c>
      <c r="G338" s="41">
        <f t="shared" si="20"/>
        <v>689095.58</v>
      </c>
      <c r="H338" s="41">
        <f t="shared" si="20"/>
        <v>627243.99</v>
      </c>
      <c r="I338" s="41">
        <f t="shared" si="20"/>
        <v>211113.20999999996</v>
      </c>
      <c r="J338" s="41">
        <f t="shared" si="20"/>
        <v>89889.300000000017</v>
      </c>
      <c r="K338" s="41">
        <f t="shared" si="20"/>
        <v>7457.76</v>
      </c>
      <c r="L338" s="41">
        <f t="shared" si="20"/>
        <v>3765864.68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425000</v>
      </c>
      <c r="L344" s="19">
        <f t="shared" ref="L344:L350" si="21">SUM(F344:K344)</f>
        <v>425000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9994.7099999999991</v>
      </c>
      <c r="L350" s="19">
        <f t="shared" si="21"/>
        <v>9994.7099999999991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434994.71</v>
      </c>
      <c r="L351" s="41">
        <f>SUM(L341:L350)</f>
        <v>434994.71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2141064.84</v>
      </c>
      <c r="G352" s="41">
        <f>G338</f>
        <v>689095.58</v>
      </c>
      <c r="H352" s="41">
        <f>H338</f>
        <v>627243.99</v>
      </c>
      <c r="I352" s="41">
        <f>I338</f>
        <v>211113.20999999996</v>
      </c>
      <c r="J352" s="41">
        <f>J338</f>
        <v>89889.300000000017</v>
      </c>
      <c r="K352" s="47">
        <f>K338+K351</f>
        <v>442452.47000000003</v>
      </c>
      <c r="L352" s="41">
        <f>L338+L351</f>
        <v>4200859.3900000006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200502.56</v>
      </c>
      <c r="G358" s="18">
        <f>59332.67+2400</f>
        <v>61732.67</v>
      </c>
      <c r="H358" s="18">
        <v>14046.42</v>
      </c>
      <c r="I358" s="18">
        <v>280378.46000000002</v>
      </c>
      <c r="J358" s="18">
        <v>7187.69</v>
      </c>
      <c r="K358" s="18"/>
      <c r="L358" s="13">
        <f>SUM(F358:K358)</f>
        <v>563847.79999999993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135181.35</v>
      </c>
      <c r="G359" s="18">
        <f>36281.55+1300</f>
        <v>37581.550000000003</v>
      </c>
      <c r="H359" s="18">
        <v>4371.92</v>
      </c>
      <c r="I359" s="18">
        <v>137271.07</v>
      </c>
      <c r="J359" s="18">
        <v>401.58</v>
      </c>
      <c r="K359" s="18"/>
      <c r="L359" s="19">
        <f>SUM(F359:K359)</f>
        <v>314807.47000000003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106621.35</v>
      </c>
      <c r="G360" s="18">
        <f>33322.31+1300</f>
        <v>34622.31</v>
      </c>
      <c r="H360" s="18">
        <v>5707.72</v>
      </c>
      <c r="I360" s="18">
        <v>160969.60000000001</v>
      </c>
      <c r="J360" s="18">
        <v>5823.7</v>
      </c>
      <c r="K360" s="18"/>
      <c r="L360" s="19">
        <f>SUM(F360:K360)</f>
        <v>313744.68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442305.26</v>
      </c>
      <c r="G362" s="47">
        <f t="shared" si="22"/>
        <v>133936.53</v>
      </c>
      <c r="H362" s="47">
        <f t="shared" si="22"/>
        <v>24126.06</v>
      </c>
      <c r="I362" s="47">
        <f t="shared" si="22"/>
        <v>578619.13</v>
      </c>
      <c r="J362" s="47">
        <f t="shared" si="22"/>
        <v>13412.97</v>
      </c>
      <c r="K362" s="47">
        <f t="shared" si="22"/>
        <v>0</v>
      </c>
      <c r="L362" s="47">
        <f t="shared" si="22"/>
        <v>1192399.95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258448.42</v>
      </c>
      <c r="G367" s="18">
        <v>124726.06</v>
      </c>
      <c r="H367" s="18">
        <v>144817.78</v>
      </c>
      <c r="I367" s="56">
        <f>SUM(F367:H367)</f>
        <v>527992.26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21930.04</v>
      </c>
      <c r="G368" s="63">
        <v>12545.01</v>
      </c>
      <c r="H368" s="63">
        <v>16151.82</v>
      </c>
      <c r="I368" s="56">
        <f>SUM(F368:H368)</f>
        <v>50626.87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280378.46000000002</v>
      </c>
      <c r="G369" s="47">
        <f>SUM(G367:G368)</f>
        <v>137271.07</v>
      </c>
      <c r="H369" s="47">
        <f>SUM(H367:H368)</f>
        <v>160969.60000000001</v>
      </c>
      <c r="I369" s="47">
        <f>SUM(I367:I368)</f>
        <v>578619.13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/>
      <c r="G465" s="18"/>
      <c r="H465" s="18"/>
      <c r="I465" s="18"/>
      <c r="J465" s="18"/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31206077.030000001</v>
      </c>
      <c r="G468" s="18">
        <v>1214158.8999999999</v>
      </c>
      <c r="H468" s="18">
        <v>4200859.3899999997</v>
      </c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31206077.030000001</v>
      </c>
      <c r="G470" s="53">
        <f>SUM(G468:G469)</f>
        <v>1214158.8999999999</v>
      </c>
      <c r="H470" s="53">
        <f>SUM(H468:H469)</f>
        <v>4200859.3899999997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31206077.030000001</v>
      </c>
      <c r="G472" s="18">
        <v>1192399.95</v>
      </c>
      <c r="H472" s="18">
        <v>4200859.3899999997</v>
      </c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31206077.030000001</v>
      </c>
      <c r="G474" s="53">
        <f>SUM(G472:G473)</f>
        <v>1192399.95</v>
      </c>
      <c r="H474" s="53">
        <f>SUM(H472:H473)</f>
        <v>4200859.3899999997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21758.949999999953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1268722.95-F531+F277</f>
        <v>1400384.47</v>
      </c>
      <c r="G521" s="18">
        <f>624233.87-G531+G277</f>
        <v>665231.26</v>
      </c>
      <c r="H521" s="18">
        <f>778060.6-H531+H277</f>
        <v>781961.88</v>
      </c>
      <c r="I521" s="18">
        <f>5338.39-I531+I277</f>
        <v>5418</v>
      </c>
      <c r="J521" s="18">
        <f>425.73-J531+J277</f>
        <v>2094.77</v>
      </c>
      <c r="K521" s="18"/>
      <c r="L521" s="88">
        <f>SUM(F521:K521)</f>
        <v>2855090.38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690878.47-F532+F296</f>
        <v>691748.42999999993</v>
      </c>
      <c r="G522" s="18">
        <f>338434.52-G532+G296</f>
        <v>334174.10000000003</v>
      </c>
      <c r="H522" s="18">
        <f>212111.92-H532+H296</f>
        <v>212670.95</v>
      </c>
      <c r="I522" s="18">
        <f>8053.11-I532+I296</f>
        <v>8001.54</v>
      </c>
      <c r="J522" s="18">
        <f>239.87-J532+I296</f>
        <v>188.3</v>
      </c>
      <c r="K522" s="18"/>
      <c r="L522" s="88">
        <f>SUM(F522:K522)</f>
        <v>1246783.32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764589.6-F533+F315</f>
        <v>800575.46</v>
      </c>
      <c r="G523" s="18">
        <f>376857.96-G532+G315</f>
        <v>387070.30000000005</v>
      </c>
      <c r="H523" s="18">
        <f>362618.22-H533+H315</f>
        <v>364376.47</v>
      </c>
      <c r="I523" s="18">
        <f>3827.28-I533+I315</f>
        <v>3871.03</v>
      </c>
      <c r="J523" s="18">
        <f>809.34-J533+J315</f>
        <v>1831.2</v>
      </c>
      <c r="K523" s="18"/>
      <c r="L523" s="88">
        <f>SUM(F523:K523)</f>
        <v>1557724.46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2892708.36</v>
      </c>
      <c r="G524" s="108">
        <f t="shared" ref="G524:L524" si="36">SUM(G521:G523)</f>
        <v>1386475.6600000001</v>
      </c>
      <c r="H524" s="108">
        <f t="shared" si="36"/>
        <v>1359009.3</v>
      </c>
      <c r="I524" s="108">
        <f t="shared" si="36"/>
        <v>17290.57</v>
      </c>
      <c r="J524" s="108">
        <f t="shared" si="36"/>
        <v>4114.2700000000004</v>
      </c>
      <c r="K524" s="108">
        <f t="shared" si="36"/>
        <v>0</v>
      </c>
      <c r="L524" s="89">
        <f t="shared" si="36"/>
        <v>5659598.1600000001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242042.84</v>
      </c>
      <c r="G526" s="18">
        <f>F526*0.48</f>
        <v>116180.56319999999</v>
      </c>
      <c r="H526" s="18">
        <v>77774.5</v>
      </c>
      <c r="I526" s="18">
        <v>3486.07</v>
      </c>
      <c r="J526" s="18"/>
      <c r="K526" s="18"/>
      <c r="L526" s="88">
        <f>SUM(F526:K526)</f>
        <v>439483.97320000001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39589</v>
      </c>
      <c r="G527" s="18">
        <f>F527*0.48</f>
        <v>19002.719999999998</v>
      </c>
      <c r="H527" s="18">
        <v>34743.75</v>
      </c>
      <c r="I527" s="18">
        <v>816.02</v>
      </c>
      <c r="J527" s="18"/>
      <c r="K527" s="18"/>
      <c r="L527" s="88">
        <f>SUM(F527:K527)</f>
        <v>94151.49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26393</v>
      </c>
      <c r="G528" s="18">
        <f>F528*0.48</f>
        <v>12668.64</v>
      </c>
      <c r="H528" s="18">
        <v>25181.25</v>
      </c>
      <c r="I528" s="18">
        <v>1073.48</v>
      </c>
      <c r="J528" s="18"/>
      <c r="K528" s="18"/>
      <c r="L528" s="88">
        <f>SUM(F528:K528)</f>
        <v>65316.37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308024.83999999997</v>
      </c>
      <c r="G529" s="89">
        <f t="shared" ref="G529:L529" si="37">SUM(G526:G528)</f>
        <v>147851.92319999996</v>
      </c>
      <c r="H529" s="89">
        <f t="shared" si="37"/>
        <v>137699.5</v>
      </c>
      <c r="I529" s="89">
        <f t="shared" si="37"/>
        <v>5375.57</v>
      </c>
      <c r="J529" s="89">
        <f t="shared" si="37"/>
        <v>0</v>
      </c>
      <c r="K529" s="89">
        <f t="shared" si="37"/>
        <v>0</v>
      </c>
      <c r="L529" s="89">
        <f t="shared" si="37"/>
        <v>598951.83319999999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78882</v>
      </c>
      <c r="G531" s="18">
        <f>F531*0.48</f>
        <v>37863.360000000001</v>
      </c>
      <c r="H531" s="18">
        <v>903.12</v>
      </c>
      <c r="I531" s="18"/>
      <c r="J531" s="18"/>
      <c r="K531" s="18">
        <v>1070.6500000000001</v>
      </c>
      <c r="L531" s="88">
        <f>SUM(F531:K531)</f>
        <v>118719.12999999999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78882</v>
      </c>
      <c r="G532" s="18">
        <f>F532*0.48</f>
        <v>37863.360000000001</v>
      </c>
      <c r="H532" s="18">
        <v>1500</v>
      </c>
      <c r="I532" s="18"/>
      <c r="J532" s="18"/>
      <c r="K532" s="18">
        <v>680</v>
      </c>
      <c r="L532" s="88">
        <f>SUM(F532:K532)</f>
        <v>118925.36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78882</v>
      </c>
      <c r="G533" s="18">
        <f>F533*0.48</f>
        <v>37863.360000000001</v>
      </c>
      <c r="H533" s="18">
        <v>1183.22</v>
      </c>
      <c r="I533" s="18"/>
      <c r="J533" s="18"/>
      <c r="K533" s="18">
        <v>530</v>
      </c>
      <c r="L533" s="88">
        <f>SUM(F533:K533)</f>
        <v>118458.58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236646</v>
      </c>
      <c r="G534" s="89">
        <f t="shared" ref="G534:L534" si="38">SUM(G531:G533)</f>
        <v>113590.08</v>
      </c>
      <c r="H534" s="89">
        <f t="shared" si="38"/>
        <v>3586.34</v>
      </c>
      <c r="I534" s="89">
        <f t="shared" si="38"/>
        <v>0</v>
      </c>
      <c r="J534" s="89">
        <f t="shared" si="38"/>
        <v>0</v>
      </c>
      <c r="K534" s="89">
        <f t="shared" si="38"/>
        <v>2280.65</v>
      </c>
      <c r="L534" s="89">
        <f t="shared" si="38"/>
        <v>356103.07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5000.62</v>
      </c>
      <c r="I536" s="18"/>
      <c r="J536" s="18"/>
      <c r="K536" s="18"/>
      <c r="L536" s="88">
        <f>SUM(F536:K536)</f>
        <v>5000.62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5000.62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5000.62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143648.44</v>
      </c>
      <c r="I541" s="18"/>
      <c r="J541" s="18"/>
      <c r="K541" s="18"/>
      <c r="L541" s="88">
        <f>SUM(F541:K541)</f>
        <v>143648.44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76567.06</v>
      </c>
      <c r="I542" s="18"/>
      <c r="J542" s="18"/>
      <c r="K542" s="18"/>
      <c r="L542" s="88">
        <f>SUM(F542:K542)</f>
        <v>76567.06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101251.79</v>
      </c>
      <c r="I543" s="18"/>
      <c r="J543" s="18"/>
      <c r="K543" s="18"/>
      <c r="L543" s="88">
        <f>SUM(F543:K543)</f>
        <v>101251.79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321467.28999999998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321467.28999999998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3437379.1999999997</v>
      </c>
      <c r="G545" s="89">
        <f t="shared" ref="G545:L545" si="41">G524+G529+G534+G539+G544</f>
        <v>1647917.6632000003</v>
      </c>
      <c r="H545" s="89">
        <f t="shared" si="41"/>
        <v>1826763.0500000003</v>
      </c>
      <c r="I545" s="89">
        <f t="shared" si="41"/>
        <v>22666.14</v>
      </c>
      <c r="J545" s="89">
        <f t="shared" si="41"/>
        <v>4114.2700000000004</v>
      </c>
      <c r="K545" s="89">
        <f t="shared" si="41"/>
        <v>2280.65</v>
      </c>
      <c r="L545" s="89">
        <f t="shared" si="41"/>
        <v>6941120.9732000008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2855090.38</v>
      </c>
      <c r="G549" s="87">
        <f>L526</f>
        <v>439483.97320000001</v>
      </c>
      <c r="H549" s="87">
        <f>L531</f>
        <v>118719.12999999999</v>
      </c>
      <c r="I549" s="87">
        <f>L536</f>
        <v>5000.62</v>
      </c>
      <c r="J549" s="87">
        <f>L541</f>
        <v>143648.44</v>
      </c>
      <c r="K549" s="87">
        <f>SUM(F549:J549)</f>
        <v>3561942.5431999997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1246783.32</v>
      </c>
      <c r="G550" s="87">
        <f>L527</f>
        <v>94151.49</v>
      </c>
      <c r="H550" s="87">
        <f>L532</f>
        <v>118925.36</v>
      </c>
      <c r="I550" s="87">
        <f>L537</f>
        <v>0</v>
      </c>
      <c r="J550" s="87">
        <f>L542</f>
        <v>76567.06</v>
      </c>
      <c r="K550" s="87">
        <f>SUM(F550:J550)</f>
        <v>1536427.2300000002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1557724.46</v>
      </c>
      <c r="G551" s="87">
        <f>L528</f>
        <v>65316.37</v>
      </c>
      <c r="H551" s="87">
        <f>L533</f>
        <v>118458.58</v>
      </c>
      <c r="I551" s="87">
        <f>L538</f>
        <v>0</v>
      </c>
      <c r="J551" s="87">
        <f>L543</f>
        <v>101251.79</v>
      </c>
      <c r="K551" s="87">
        <f>SUM(F551:J551)</f>
        <v>1842751.2000000002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5659598.1600000001</v>
      </c>
      <c r="G552" s="89">
        <f t="shared" si="42"/>
        <v>598951.83319999999</v>
      </c>
      <c r="H552" s="89">
        <f t="shared" si="42"/>
        <v>356103.07</v>
      </c>
      <c r="I552" s="89">
        <f t="shared" si="42"/>
        <v>5000.62</v>
      </c>
      <c r="J552" s="89">
        <f t="shared" si="42"/>
        <v>321467.28999999998</v>
      </c>
      <c r="K552" s="89">
        <f t="shared" si="42"/>
        <v>6941120.9731999999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39865.019999999997</v>
      </c>
      <c r="G579" s="18">
        <v>0</v>
      </c>
      <c r="H579" s="18">
        <v>0</v>
      </c>
      <c r="I579" s="87">
        <f t="shared" si="47"/>
        <v>39865.019999999997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80409.64</v>
      </c>
      <c r="G582" s="18">
        <v>143077.81</v>
      </c>
      <c r="H582" s="18">
        <v>265268.92</v>
      </c>
      <c r="I582" s="87">
        <f t="shared" si="47"/>
        <v>488756.37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186342.1</f>
        <v>186342.1</v>
      </c>
      <c r="I591" s="18">
        <v>79860.899999999994</v>
      </c>
      <c r="J591" s="18">
        <v>114087</v>
      </c>
      <c r="K591" s="104">
        <f t="shared" ref="K591:K597" si="48">SUM(H591:J591)</f>
        <v>380290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86051.8+57596.64</f>
        <v>143648.44</v>
      </c>
      <c r="I592" s="18">
        <f>36879.34+39687.72</f>
        <v>76567.06</v>
      </c>
      <c r="J592" s="18">
        <f>52684.78+46259.76</f>
        <v>98944.540000000008</v>
      </c>
      <c r="K592" s="104">
        <f t="shared" si="48"/>
        <v>319160.04000000004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2307.25</v>
      </c>
      <c r="K593" s="104">
        <f t="shared" si="48"/>
        <v>2307.25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9927.39</v>
      </c>
      <c r="J594" s="18">
        <v>38506.879999999997</v>
      </c>
      <c r="K594" s="104">
        <f t="shared" si="48"/>
        <v>48434.27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737.5</v>
      </c>
      <c r="I595" s="18">
        <v>2012.38</v>
      </c>
      <c r="J595" s="18">
        <v>3921.26</v>
      </c>
      <c r="K595" s="104">
        <f t="shared" si="48"/>
        <v>6671.14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>
        <v>270</v>
      </c>
      <c r="J596" s="18"/>
      <c r="K596" s="104">
        <f t="shared" si="48"/>
        <v>270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330728.04000000004</v>
      </c>
      <c r="I598" s="108">
        <f>SUM(I591:I597)</f>
        <v>168637.72999999998</v>
      </c>
      <c r="J598" s="108">
        <f>SUM(J591:J597)</f>
        <v>257766.93000000002</v>
      </c>
      <c r="K598" s="108">
        <f>SUM(K591:K597)</f>
        <v>757132.70000000007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40458.08+24834.23-14887.09</f>
        <v>50405.22</v>
      </c>
      <c r="I604" s="18">
        <f>31974.82+9051.21-224.45</f>
        <v>40801.58</v>
      </c>
      <c r="J604" s="18">
        <f>53707.12+71386.61-271.2</f>
        <v>124822.53000000001</v>
      </c>
      <c r="K604" s="104">
        <f>SUM(H604:J604)</f>
        <v>216029.33000000002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50405.22</v>
      </c>
      <c r="I605" s="108">
        <f>SUM(I602:I604)</f>
        <v>40801.58</v>
      </c>
      <c r="J605" s="108">
        <f>SUM(J602:J604)</f>
        <v>124822.53000000001</v>
      </c>
      <c r="K605" s="108">
        <f>SUM(K602:K604)</f>
        <v>216029.33000000002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2817.5+9124.55+27739.95</f>
        <v>39682</v>
      </c>
      <c r="G611" s="18">
        <f>F611*0.48</f>
        <v>19047.36</v>
      </c>
      <c r="H611" s="18">
        <v>15330.51</v>
      </c>
      <c r="I611" s="18">
        <v>0</v>
      </c>
      <c r="J611" s="18"/>
      <c r="K611" s="18"/>
      <c r="L611" s="88">
        <f>SUM(F611:K611)</f>
        <v>74059.87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1207.5+3910.52+11888.55</f>
        <v>17006.57</v>
      </c>
      <c r="G612" s="18">
        <f>F612*0.48</f>
        <v>8163.1535999999996</v>
      </c>
      <c r="H612" s="18">
        <v>6570.22</v>
      </c>
      <c r="I612" s="18">
        <v>0</v>
      </c>
      <c r="J612" s="18"/>
      <c r="K612" s="18"/>
      <c r="L612" s="88">
        <f>SUM(F612:K612)</f>
        <v>31739.943599999999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1725+5586.46+16983.65</f>
        <v>24295.11</v>
      </c>
      <c r="G613" s="18">
        <f>F613*0.48</f>
        <v>11661.6528</v>
      </c>
      <c r="H613" s="18">
        <v>9386.0300000000007</v>
      </c>
      <c r="I613" s="18">
        <v>0</v>
      </c>
      <c r="J613" s="18"/>
      <c r="K613" s="18"/>
      <c r="L613" s="88">
        <f>SUM(F613:K613)</f>
        <v>45342.792799999996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80983.679999999993</v>
      </c>
      <c r="G614" s="108">
        <f t="shared" si="49"/>
        <v>38872.166400000002</v>
      </c>
      <c r="H614" s="108">
        <f t="shared" si="49"/>
        <v>31286.760000000002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151142.60639999999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1855850.6900000002</v>
      </c>
      <c r="H617" s="109">
        <f>SUM(F52)</f>
        <v>1855850.69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82297.440000000002</v>
      </c>
      <c r="H618" s="109">
        <f>SUM(G52)</f>
        <v>82297.440000000002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763162.58000000007</v>
      </c>
      <c r="H619" s="109">
        <f>SUM(H52)</f>
        <v>763162.58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21758.95</v>
      </c>
      <c r="H623" s="109">
        <f>G476</f>
        <v>21758.949999999953</v>
      </c>
      <c r="I623" s="121" t="s">
        <v>102</v>
      </c>
      <c r="J623" s="109">
        <f t="shared" si="50"/>
        <v>4.7293724492192268E-11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31206077.030000001</v>
      </c>
      <c r="H627" s="104">
        <f>SUM(F468)</f>
        <v>31206077.030000001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1214158.8999999999</v>
      </c>
      <c r="H628" s="104">
        <f>SUM(G468)</f>
        <v>1214158.8999999999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4200859.3899999997</v>
      </c>
      <c r="H629" s="104">
        <f>SUM(H468)</f>
        <v>4200859.3899999997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31206077.030000001</v>
      </c>
      <c r="H632" s="104">
        <f>SUM(F472)</f>
        <v>31206077.030000001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4200859.3900000006</v>
      </c>
      <c r="H633" s="104">
        <f>SUM(H472)</f>
        <v>4200859.3899999997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578619.13</v>
      </c>
      <c r="H634" s="104">
        <f>I369</f>
        <v>578619.13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1192399.95</v>
      </c>
      <c r="H635" s="104">
        <f>SUM(G472)</f>
        <v>1192399.95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757132.70000000007</v>
      </c>
      <c r="H647" s="104">
        <f>L208+L226+L244</f>
        <v>757132.7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216029.33000000002</v>
      </c>
      <c r="H648" s="104">
        <f>(J257+J338)-(J255+J336)</f>
        <v>216029.33000000002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330728.03999999998</v>
      </c>
      <c r="H649" s="104">
        <f>H598</f>
        <v>330728.04000000004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168637.73</v>
      </c>
      <c r="H650" s="104">
        <f>I598</f>
        <v>168637.72999999998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257766.93</v>
      </c>
      <c r="H651" s="104">
        <f>J598</f>
        <v>257766.93000000002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425000</v>
      </c>
      <c r="H653" s="104">
        <f>K264</f>
        <v>425000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14124599.9</v>
      </c>
      <c r="G660" s="19">
        <f>(L229+L309+L359)</f>
        <v>7499971.7000000002</v>
      </c>
      <c r="H660" s="19">
        <f>(L247+L328+L360)</f>
        <v>11054884.969999999</v>
      </c>
      <c r="I660" s="19">
        <f>SUM(F660:H660)</f>
        <v>32679456.57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164243.32428548153</v>
      </c>
      <c r="G661" s="19">
        <f>(L359/IF(SUM(L358:L360)=0,1,SUM(L358:L360))*(SUM(G97:G110)))</f>
        <v>91700.322999756347</v>
      </c>
      <c r="H661" s="19">
        <f>(L360/IF(SUM(L358:L360)=0,1,SUM(L358:L360))*(SUM(G97:G110)))</f>
        <v>91390.74271476212</v>
      </c>
      <c r="I661" s="19">
        <f>SUM(F661:H661)</f>
        <v>347334.39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330728.03999999998</v>
      </c>
      <c r="G662" s="19">
        <f>(L226+L306)-(J226+J306)</f>
        <v>168637.73</v>
      </c>
      <c r="H662" s="19">
        <f>(L244+L325)-(J244+J325)</f>
        <v>258474.61</v>
      </c>
      <c r="I662" s="19">
        <f>SUM(F662:H662)</f>
        <v>757840.38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244739.75</v>
      </c>
      <c r="G663" s="199">
        <f>SUM(G575:G587)+SUM(I602:I604)+L612</f>
        <v>215619.33360000001</v>
      </c>
      <c r="H663" s="199">
        <f>SUM(H575:H587)+SUM(J602:J604)+L613</f>
        <v>435434.24280000001</v>
      </c>
      <c r="I663" s="19">
        <f>SUM(F663:H663)</f>
        <v>895793.32640000002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13384888.785714518</v>
      </c>
      <c r="G664" s="19">
        <f>G660-SUM(G661:G663)</f>
        <v>7024014.3134002434</v>
      </c>
      <c r="H664" s="19">
        <f>H660-SUM(H661:H663)</f>
        <v>10269585.374485238</v>
      </c>
      <c r="I664" s="19">
        <f>I660-SUM(I661:I663)</f>
        <v>30678488.4736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960.89</v>
      </c>
      <c r="G665" s="248">
        <v>427.76</v>
      </c>
      <c r="H665" s="248">
        <v>599.45000000000005</v>
      </c>
      <c r="I665" s="19">
        <f>SUM(F665:H665)</f>
        <v>1988.1000000000001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13929.68</v>
      </c>
      <c r="G667" s="19">
        <f>ROUND(G664/G665,2)</f>
        <v>16420.46</v>
      </c>
      <c r="H667" s="19">
        <f>ROUND(H664/H665,2)</f>
        <v>17131.68</v>
      </c>
      <c r="I667" s="19">
        <f>ROUND(I664/I665,2)</f>
        <v>15431.06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84.94</v>
      </c>
      <c r="I670" s="19">
        <f>SUM(F670:H670)</f>
        <v>84.94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13929.68</v>
      </c>
      <c r="G672" s="19">
        <f>ROUND((G664+G669)/(G665+G670),2)</f>
        <v>16420.46</v>
      </c>
      <c r="H672" s="19">
        <f>ROUND((H664+H669)/(H665+H670),2)</f>
        <v>15005.46</v>
      </c>
      <c r="I672" s="19">
        <f>ROUND((I664+I669)/(I665+I670),2)</f>
        <v>14798.79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Laconia School District SAU #30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8065404.0100000007</v>
      </c>
      <c r="C9" s="229">
        <f>'DOE25'!G197+'DOE25'!G215+'DOE25'!G233+'DOE25'!G276+'DOE25'!G295+'DOE25'!G314</f>
        <v>3937133.25</v>
      </c>
    </row>
    <row r="10" spans="1:3" x14ac:dyDescent="0.2">
      <c r="A10" t="s">
        <v>779</v>
      </c>
      <c r="B10" s="240">
        <f>6918986.15+635213+218742+2662.56-0.17</f>
        <v>7775603.54</v>
      </c>
      <c r="C10" s="240">
        <f>C9-C11-C12</f>
        <v>3798029.0244</v>
      </c>
    </row>
    <row r="11" spans="1:3" x14ac:dyDescent="0.2">
      <c r="A11" t="s">
        <v>780</v>
      </c>
      <c r="B11" s="240">
        <f>53803.85+6287.6</f>
        <v>60091.45</v>
      </c>
      <c r="C11" s="240">
        <f>B11*0.48</f>
        <v>28843.895999999997</v>
      </c>
    </row>
    <row r="12" spans="1:3" x14ac:dyDescent="0.2">
      <c r="A12" t="s">
        <v>781</v>
      </c>
      <c r="B12" s="240">
        <f>104907.29+124801.73</f>
        <v>229709.02</v>
      </c>
      <c r="C12" s="240">
        <f>B12*0.48</f>
        <v>110260.3296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8065404.0099999998</v>
      </c>
      <c r="C13" s="231">
        <f>SUM(C10:C12)</f>
        <v>3937133.25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3129353.8899999997</v>
      </c>
      <c r="C18" s="229">
        <f>'DOE25'!G198+'DOE25'!G216+'DOE25'!G234+'DOE25'!G277+'DOE25'!G296+'DOE25'!G315</f>
        <v>1500065.74</v>
      </c>
    </row>
    <row r="19" spans="1:3" x14ac:dyDescent="0.2">
      <c r="A19" t="s">
        <v>779</v>
      </c>
      <c r="B19" s="240">
        <f>1331521.4+405163.34+26392</f>
        <v>1763076.74</v>
      </c>
      <c r="C19" s="240">
        <f>C18-C20-C21</f>
        <v>844252.70799999998</v>
      </c>
    </row>
    <row r="20" spans="1:3" x14ac:dyDescent="0.2">
      <c r="A20" t="s">
        <v>780</v>
      </c>
      <c r="B20" s="240">
        <f>1025639.15</f>
        <v>1025639.15</v>
      </c>
      <c r="C20" s="240">
        <f>B20*0.48</f>
        <v>492306.79200000002</v>
      </c>
    </row>
    <row r="21" spans="1:3" x14ac:dyDescent="0.2">
      <c r="A21" t="s">
        <v>781</v>
      </c>
      <c r="B21" s="240">
        <f>340638</f>
        <v>340638</v>
      </c>
      <c r="C21" s="240">
        <f>B21*0.48</f>
        <v>163506.23999999999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3129353.89</v>
      </c>
      <c r="C22" s="231">
        <f>SUM(C19:C21)</f>
        <v>1500065.74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1004141.74</v>
      </c>
      <c r="C27" s="234">
        <f>'DOE25'!G199+'DOE25'!G217+'DOE25'!G235+'DOE25'!G278+'DOE25'!G297+'DOE25'!G316</f>
        <v>468578.48000000004</v>
      </c>
    </row>
    <row r="28" spans="1:3" x14ac:dyDescent="0.2">
      <c r="A28" t="s">
        <v>779</v>
      </c>
      <c r="B28" s="240">
        <f>631179.1+47835.67</f>
        <v>679014.77</v>
      </c>
      <c r="C28" s="240">
        <f>C27-C29-C30</f>
        <v>312517.5344</v>
      </c>
    </row>
    <row r="29" spans="1:3" x14ac:dyDescent="0.2">
      <c r="A29" t="s">
        <v>780</v>
      </c>
      <c r="B29" s="240">
        <f>31098.28</f>
        <v>31098.28</v>
      </c>
      <c r="C29" s="240">
        <f>B29*0.48</f>
        <v>14927.174399999998</v>
      </c>
    </row>
    <row r="30" spans="1:3" x14ac:dyDescent="0.2">
      <c r="A30" t="s">
        <v>781</v>
      </c>
      <c r="B30" s="240">
        <f>289528.73+4499.96</f>
        <v>294028.69</v>
      </c>
      <c r="C30" s="240">
        <f>B30*0.48</f>
        <v>141133.77119999999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1004141.74</v>
      </c>
      <c r="C31" s="231">
        <f>SUM(C28:C30)</f>
        <v>468578.48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587388.51</v>
      </c>
      <c r="C36" s="235">
        <f>'DOE25'!G200+'DOE25'!G218+'DOE25'!G236+'DOE25'!G279+'DOE25'!G298+'DOE25'!G317</f>
        <v>137731.07999999999</v>
      </c>
    </row>
    <row r="37" spans="1:3" x14ac:dyDescent="0.2">
      <c r="A37" t="s">
        <v>779</v>
      </c>
      <c r="B37" s="240">
        <f>225271.79+362116.71+0.01</f>
        <v>587388.51</v>
      </c>
      <c r="C37" s="240">
        <f>C36-C38-C39</f>
        <v>137731.07999999999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587388.51</v>
      </c>
      <c r="C40" s="231">
        <f>SUM(C37:C39)</f>
        <v>137731.07999999999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Laconia School District SAU #30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18766071.390000001</v>
      </c>
      <c r="D5" s="20">
        <f>SUM('DOE25'!L197:L200)+SUM('DOE25'!L215:L218)+SUM('DOE25'!L233:L236)-F5-G5</f>
        <v>18705390.610000003</v>
      </c>
      <c r="E5" s="243"/>
      <c r="F5" s="255">
        <f>SUM('DOE25'!J197:J200)+SUM('DOE25'!J215:J218)+SUM('DOE25'!J233:J236)</f>
        <v>58249.149999999994</v>
      </c>
      <c r="G5" s="53">
        <f>SUM('DOE25'!K197:K200)+SUM('DOE25'!K215:K218)+SUM('DOE25'!K233:K236)</f>
        <v>2431.63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1685963.04</v>
      </c>
      <c r="D6" s="20">
        <f>'DOE25'!L202+'DOE25'!L220+'DOE25'!L238-F6-G6</f>
        <v>1685897.04</v>
      </c>
      <c r="E6" s="243"/>
      <c r="F6" s="255">
        <f>'DOE25'!J202+'DOE25'!J220+'DOE25'!J238</f>
        <v>66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989216.08000000007</v>
      </c>
      <c r="D7" s="20">
        <f>'DOE25'!L203+'DOE25'!L221+'DOE25'!L239-F7-G7</f>
        <v>940931.82000000007</v>
      </c>
      <c r="E7" s="243"/>
      <c r="F7" s="255">
        <f>'DOE25'!J203+'DOE25'!J221+'DOE25'!J239</f>
        <v>48284.97</v>
      </c>
      <c r="G7" s="53">
        <f>'DOE25'!K203+'DOE25'!K221+'DOE25'!K239</f>
        <v>-0.71</v>
      </c>
      <c r="H7" s="259"/>
    </row>
    <row r="8" spans="1:9" x14ac:dyDescent="0.2">
      <c r="A8" s="32">
        <v>2300</v>
      </c>
      <c r="B8" t="s">
        <v>802</v>
      </c>
      <c r="C8" s="245">
        <f t="shared" si="0"/>
        <v>613829.34999999986</v>
      </c>
      <c r="D8" s="243"/>
      <c r="E8" s="20">
        <f>'DOE25'!L204+'DOE25'!L222+'DOE25'!L240-F8-G8-D9-D11</f>
        <v>583827.34999999986</v>
      </c>
      <c r="F8" s="255">
        <f>'DOE25'!J204+'DOE25'!J222+'DOE25'!J240</f>
        <v>0</v>
      </c>
      <c r="G8" s="53">
        <f>'DOE25'!K204+'DOE25'!K222+'DOE25'!K240</f>
        <v>30002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28472.799999999999</v>
      </c>
      <c r="D9" s="244">
        <v>28472.799999999999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5861</v>
      </c>
      <c r="D10" s="243"/>
      <c r="E10" s="244">
        <v>5861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389306.81</v>
      </c>
      <c r="D11" s="244">
        <v>389306.81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1701722.84</v>
      </c>
      <c r="D12" s="20">
        <f>'DOE25'!L205+'DOE25'!L223+'DOE25'!L241-F12-G12</f>
        <v>1693000.7000000002</v>
      </c>
      <c r="E12" s="243"/>
      <c r="F12" s="255">
        <f>'DOE25'!J205+'DOE25'!J223+'DOE25'!J241</f>
        <v>0</v>
      </c>
      <c r="G12" s="53">
        <f>'DOE25'!K205+'DOE25'!K223+'DOE25'!K241</f>
        <v>8722.14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459690.25999999995</v>
      </c>
      <c r="D13" s="243"/>
      <c r="E13" s="20">
        <f>'DOE25'!L206+'DOE25'!L224+'DOE25'!L242-F13-G13</f>
        <v>458492.25999999995</v>
      </c>
      <c r="F13" s="255">
        <f>'DOE25'!J206+'DOE25'!J224+'DOE25'!J242</f>
        <v>1198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2603420.27</v>
      </c>
      <c r="D14" s="20">
        <f>'DOE25'!L207+'DOE25'!L225+'DOE25'!L243-F14-G14</f>
        <v>2589723.36</v>
      </c>
      <c r="E14" s="243"/>
      <c r="F14" s="255">
        <f>'DOE25'!J207+'DOE25'!J225+'DOE25'!J243</f>
        <v>13696.91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757132.7</v>
      </c>
      <c r="D15" s="20">
        <f>'DOE25'!L208+'DOE25'!L226+'DOE25'!L244-F15-G15</f>
        <v>757132.7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228238.87</v>
      </c>
      <c r="D17" s="20">
        <f>'DOE25'!L251-F17-G17</f>
        <v>220918.87</v>
      </c>
      <c r="E17" s="243"/>
      <c r="F17" s="255">
        <f>'DOE25'!J251</f>
        <v>4645</v>
      </c>
      <c r="G17" s="53">
        <f>'DOE25'!K251</f>
        <v>2675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34969.199999999997</v>
      </c>
      <c r="D22" s="243"/>
      <c r="E22" s="243"/>
      <c r="F22" s="255">
        <f>'DOE25'!L255+'DOE25'!L336</f>
        <v>34969.199999999997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2523043.42</v>
      </c>
      <c r="D25" s="243"/>
      <c r="E25" s="243"/>
      <c r="F25" s="258"/>
      <c r="G25" s="256"/>
      <c r="H25" s="257">
        <f>'DOE25'!L260+'DOE25'!L261+'DOE25'!L341+'DOE25'!L342</f>
        <v>2523043.42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664407.68999999994</v>
      </c>
      <c r="D29" s="20">
        <f>'DOE25'!L358+'DOE25'!L359+'DOE25'!L360-'DOE25'!I367-F29-G29</f>
        <v>650994.72</v>
      </c>
      <c r="E29" s="243"/>
      <c r="F29" s="255">
        <f>'DOE25'!J358+'DOE25'!J359+'DOE25'!J360</f>
        <v>13412.97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3743920.89</v>
      </c>
      <c r="D31" s="20">
        <f>'DOE25'!L290+'DOE25'!L309+'DOE25'!L328+'DOE25'!L333+'DOE25'!L334+'DOE25'!L335-F31-G31</f>
        <v>3646573.8300000005</v>
      </c>
      <c r="E31" s="243"/>
      <c r="F31" s="255">
        <f>'DOE25'!J290+'DOE25'!J309+'DOE25'!J328+'DOE25'!J333+'DOE25'!J334+'DOE25'!J335</f>
        <v>89889.300000000017</v>
      </c>
      <c r="G31" s="53">
        <f>'DOE25'!K290+'DOE25'!K309+'DOE25'!K328+'DOE25'!K333+'DOE25'!K334+'DOE25'!K335</f>
        <v>7457.76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31308343.260000002</v>
      </c>
      <c r="E33" s="246">
        <f>SUM(E5:E31)</f>
        <v>1048180.6099999999</v>
      </c>
      <c r="F33" s="246">
        <f>SUM(F5:F31)</f>
        <v>264411.5</v>
      </c>
      <c r="G33" s="246">
        <f>SUM(G5:G31)</f>
        <v>51287.82</v>
      </c>
      <c r="H33" s="246">
        <f>SUM(H5:H31)</f>
        <v>2523043.42</v>
      </c>
    </row>
    <row r="35" spans="2:8" ht="12" thickBot="1" x14ac:dyDescent="0.25">
      <c r="B35" s="253" t="s">
        <v>847</v>
      </c>
      <c r="D35" s="254">
        <f>E33</f>
        <v>1048180.6099999999</v>
      </c>
      <c r="E35" s="249"/>
    </row>
    <row r="36" spans="2:8" ht="12" thickTop="1" x14ac:dyDescent="0.2">
      <c r="B36" t="s">
        <v>815</v>
      </c>
      <c r="D36" s="20">
        <f>D33</f>
        <v>31308343.260000002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132" activePane="bottomLeft" state="frozen"/>
      <selection activeCell="F46" sqref="F46"/>
      <selection pane="bottomLeft" activeCell="C124" sqref="C12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Laconia School District SAU #30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6254.89</v>
      </c>
      <c r="D8" s="95">
        <f>'DOE25'!G9</f>
        <v>1900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806884.25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684683.31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309947.94</v>
      </c>
      <c r="D12" s="95">
        <f>'DOE25'!G13</f>
        <v>54329.440000000002</v>
      </c>
      <c r="E12" s="95">
        <f>'DOE25'!H13</f>
        <v>757989.02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15337.49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26068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22742.81</v>
      </c>
      <c r="D16" s="95">
        <f>'DOE25'!G17</f>
        <v>0</v>
      </c>
      <c r="E16" s="95">
        <f>'DOE25'!H17</f>
        <v>5173.5600000000004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10000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1855850.6900000002</v>
      </c>
      <c r="D18" s="41">
        <f>SUM(D8:D17)</f>
        <v>82297.440000000002</v>
      </c>
      <c r="E18" s="41">
        <f>SUM(E8:E17)</f>
        <v>763162.58000000007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51552.23</v>
      </c>
      <c r="E21" s="95">
        <f>'DOE25'!H22</f>
        <v>633131.07999999996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1435746.82</v>
      </c>
      <c r="D23" s="95">
        <f>'DOE25'!G24</f>
        <v>8088.52</v>
      </c>
      <c r="E23" s="95">
        <f>'DOE25'!H24</f>
        <v>32121.05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40127.760000000002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97910.45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379976.11</v>
      </c>
      <c r="D30" s="95">
        <f>'DOE25'!G31</f>
        <v>897.74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1855850.69</v>
      </c>
      <c r="D31" s="41">
        <f>SUM(D21:D30)</f>
        <v>60538.49</v>
      </c>
      <c r="E31" s="41">
        <f>SUM(E21:E30)</f>
        <v>763162.58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21758.95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21758.95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1855850.69</v>
      </c>
      <c r="D51" s="41">
        <f>D50+D31</f>
        <v>82297.440000000002</v>
      </c>
      <c r="E51" s="41">
        <f>E50+E31</f>
        <v>763162.58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17527828.870000001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557239.58000000007</v>
      </c>
      <c r="D57" s="24" t="s">
        <v>289</v>
      </c>
      <c r="E57" s="95">
        <f>'DOE25'!H79</f>
        <v>148449.98000000001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347334.39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6520.1900000000005</v>
      </c>
      <c r="D61" s="95">
        <f>SUM('DOE25'!G98:G110)</f>
        <v>0</v>
      </c>
      <c r="E61" s="95">
        <f>SUM('DOE25'!H98:H110)</f>
        <v>181271.13999999998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563759.77</v>
      </c>
      <c r="D62" s="130">
        <f>SUM(D57:D61)</f>
        <v>347334.39</v>
      </c>
      <c r="E62" s="130">
        <f>SUM(E57:E61)</f>
        <v>329721.12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18091588.640000001</v>
      </c>
      <c r="D63" s="22">
        <f>D56+D62</f>
        <v>347334.39</v>
      </c>
      <c r="E63" s="22">
        <f>E56+E62</f>
        <v>329721.12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6123817.3399999999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4608269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59954.01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10732086.34</v>
      </c>
      <c r="D70" s="139">
        <f>D69</f>
        <v>59954.01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774070.3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65549.919999999998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1132372.8600000001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15186.27</v>
      </c>
      <c r="E77" s="95">
        <f>SUM('DOE25'!H131:H135)</f>
        <v>33202.92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1971993.08</v>
      </c>
      <c r="D78" s="130">
        <f>SUM(D72:D77)</f>
        <v>15186.27</v>
      </c>
      <c r="E78" s="130">
        <f>SUM(E72:E77)</f>
        <v>33202.92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12704079.42</v>
      </c>
      <c r="D81" s="130">
        <f>SUM(D79:D80)+D78+D70</f>
        <v>75140.28</v>
      </c>
      <c r="E81" s="130">
        <f>SUM(E79:E80)+E78+E70</f>
        <v>33202.92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268571.81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410408.97</v>
      </c>
      <c r="D88" s="95">
        <f>SUM('DOE25'!G153:G161)</f>
        <v>791684.23</v>
      </c>
      <c r="E88" s="95">
        <f>SUM('DOE25'!H153:H161)</f>
        <v>3144363.54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410408.97</v>
      </c>
      <c r="D91" s="131">
        <f>SUM(D85:D90)</f>
        <v>791684.23</v>
      </c>
      <c r="E91" s="131">
        <f>SUM(E85:E90)</f>
        <v>3412935.35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425000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425000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31206077.030000001</v>
      </c>
      <c r="D104" s="86">
        <f>D63+D81+D91+D103</f>
        <v>1214158.8999999999</v>
      </c>
      <c r="E104" s="86">
        <f>E63+E81+E91+E103</f>
        <v>4200859.3900000006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11398510.710000001</v>
      </c>
      <c r="D109" s="24" t="s">
        <v>289</v>
      </c>
      <c r="E109" s="95">
        <f>('DOE25'!L276)+('DOE25'!L295)+('DOE25'!L314)</f>
        <v>1432423.32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5437482.0100000007</v>
      </c>
      <c r="D110" s="24" t="s">
        <v>289</v>
      </c>
      <c r="E110" s="95">
        <f>('DOE25'!L277)+('DOE25'!L296)+('DOE25'!L315)</f>
        <v>578985.63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1500539.3499999999</v>
      </c>
      <c r="D111" s="24" t="s">
        <v>289</v>
      </c>
      <c r="E111" s="95">
        <f>('DOE25'!L278)+('DOE25'!L297)+('DOE25'!L316)</f>
        <v>169674.37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429539.31999999995</v>
      </c>
      <c r="D112" s="24" t="s">
        <v>289</v>
      </c>
      <c r="E112" s="95">
        <f>+('DOE25'!L279)+('DOE25'!L298)+('DOE25'!L317)</f>
        <v>405845.54999999993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21943.79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228238.87</v>
      </c>
      <c r="D114" s="24" t="s">
        <v>289</v>
      </c>
      <c r="E114" s="95">
        <f>+ SUM('DOE25'!L333:L335)</f>
        <v>251689.81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18994310.260000005</v>
      </c>
      <c r="D115" s="86">
        <f>SUM(D109:D114)</f>
        <v>0</v>
      </c>
      <c r="E115" s="86">
        <f>SUM(E109:E114)</f>
        <v>2860562.47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1685963.04</v>
      </c>
      <c r="D118" s="24" t="s">
        <v>289</v>
      </c>
      <c r="E118" s="95">
        <f>+('DOE25'!L281)+('DOE25'!L300)+('DOE25'!L319)</f>
        <v>118573.51000000001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989216.08000000007</v>
      </c>
      <c r="D119" s="24" t="s">
        <v>289</v>
      </c>
      <c r="E119" s="95">
        <f>+('DOE25'!L282)+('DOE25'!L301)+('DOE25'!L320)</f>
        <v>321741.45999999996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1031608.96</v>
      </c>
      <c r="D120" s="24" t="s">
        <v>289</v>
      </c>
      <c r="E120" s="95">
        <f>+('DOE25'!L283)+('DOE25'!L302)+('DOE25'!L321)</f>
        <v>460796.56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1701722.84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459690.25999999995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2603420.27</v>
      </c>
      <c r="D123" s="24" t="s">
        <v>289</v>
      </c>
      <c r="E123" s="95">
        <f>+('DOE25'!L286)+('DOE25'!L305)+('DOE25'!L324)</f>
        <v>3483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757132.7</v>
      </c>
      <c r="D124" s="24" t="s">
        <v>289</v>
      </c>
      <c r="E124" s="95">
        <f>+('DOE25'!L287)+('DOE25'!L306)+('DOE25'!L325)</f>
        <v>707.68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1192399.95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9228754.1499999985</v>
      </c>
      <c r="D128" s="86">
        <f>SUM(D118:D127)</f>
        <v>1192399.95</v>
      </c>
      <c r="E128" s="86">
        <f>SUM(E118:E127)</f>
        <v>905302.21000000008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34969.199999999997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1882903.37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640140.05000000005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425000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425000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9994.7099999999991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2983012.62</v>
      </c>
      <c r="D144" s="141">
        <f>SUM(D130:D143)</f>
        <v>0</v>
      </c>
      <c r="E144" s="141">
        <f>SUM(E130:E143)</f>
        <v>434994.71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31206077.030000005</v>
      </c>
      <c r="D145" s="86">
        <f>(D115+D128+D144)</f>
        <v>1192399.95</v>
      </c>
      <c r="E145" s="86">
        <f>(E115+E128+E144)</f>
        <v>4200859.3900000006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Laconia School District SAU #30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13930</v>
      </c>
    </row>
    <row r="5" spans="1:4" x14ac:dyDescent="0.2">
      <c r="B5" t="s">
        <v>704</v>
      </c>
      <c r="C5" s="179">
        <f>IF('DOE25'!G665+'DOE25'!G670=0,0,ROUND('DOE25'!G672,0))</f>
        <v>16420</v>
      </c>
    </row>
    <row r="6" spans="1:4" x14ac:dyDescent="0.2">
      <c r="B6" t="s">
        <v>62</v>
      </c>
      <c r="C6" s="179">
        <f>IF('DOE25'!H665+'DOE25'!H670=0,0,ROUND('DOE25'!H672,0))</f>
        <v>15005</v>
      </c>
    </row>
    <row r="7" spans="1:4" x14ac:dyDescent="0.2">
      <c r="B7" t="s">
        <v>705</v>
      </c>
      <c r="C7" s="179">
        <f>IF('DOE25'!I665+'DOE25'!I670=0,0,ROUND('DOE25'!I672,0))</f>
        <v>14799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12830934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6016468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1670214</v>
      </c>
      <c r="D12" s="182">
        <f>ROUND((C12/$C$28)*100,1)</f>
        <v>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835385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1804537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1310958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1492406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1701723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459690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2606903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757840</v>
      </c>
      <c r="D21" s="182">
        <f t="shared" si="0"/>
        <v>2.2999999999999998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21944</v>
      </c>
      <c r="D23" s="182">
        <f t="shared" si="0"/>
        <v>0.1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479929</v>
      </c>
      <c r="D24" s="182">
        <f t="shared" si="0"/>
        <v>1.4</v>
      </c>
    </row>
    <row r="25" spans="1:4" x14ac:dyDescent="0.2">
      <c r="A25">
        <v>5120</v>
      </c>
      <c r="B25" t="s">
        <v>720</v>
      </c>
      <c r="C25" s="179">
        <f>ROUND('DOE25'!L261+'DOE25'!L342,0)</f>
        <v>640140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9994.7099999999991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845065.61</v>
      </c>
      <c r="D27" s="182">
        <f t="shared" si="0"/>
        <v>2.5</v>
      </c>
    </row>
    <row r="28" spans="1:4" x14ac:dyDescent="0.2">
      <c r="B28" s="187" t="s">
        <v>723</v>
      </c>
      <c r="C28" s="180">
        <f>SUM(C10:C27)</f>
        <v>33484131.32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34969</v>
      </c>
    </row>
    <row r="30" spans="1:4" x14ac:dyDescent="0.2">
      <c r="B30" s="187" t="s">
        <v>729</v>
      </c>
      <c r="C30" s="180">
        <f>SUM(C28:C29)</f>
        <v>33519100.32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1882903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17527829</v>
      </c>
      <c r="D35" s="182">
        <f t="shared" ref="D35:D40" si="1">ROUND((C35/$C$41)*100,1)</f>
        <v>48.9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893480.76000000536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10732086</v>
      </c>
      <c r="D37" s="182">
        <f t="shared" si="1"/>
        <v>29.9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2080336</v>
      </c>
      <c r="D38" s="182">
        <f t="shared" si="1"/>
        <v>5.8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4615029</v>
      </c>
      <c r="D39" s="182">
        <f t="shared" si="1"/>
        <v>12.9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35848760.760000005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Laconia School District SAU #30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30A" sheet="1" objects="1" scenarios="1"/>
  <mergeCells count="223"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39:M39"/>
    <mergeCell ref="C29:M29"/>
    <mergeCell ref="AP31:AZ31"/>
    <mergeCell ref="AP32:AZ32"/>
    <mergeCell ref="P30:Z30"/>
    <mergeCell ref="AC30:AM30"/>
    <mergeCell ref="AP30:AZ30"/>
    <mergeCell ref="C20:M20"/>
    <mergeCell ref="DC29:DM29"/>
    <mergeCell ref="BC29:BM29"/>
    <mergeCell ref="BP29:BZ29"/>
    <mergeCell ref="CC29:CM29"/>
    <mergeCell ref="AP29:AZ29"/>
    <mergeCell ref="C21:M21"/>
    <mergeCell ref="C22:M22"/>
    <mergeCell ref="C23:M23"/>
    <mergeCell ref="C24:M24"/>
    <mergeCell ref="C25:M25"/>
    <mergeCell ref="C26:M26"/>
    <mergeCell ref="C27:M27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14:M14"/>
    <mergeCell ref="C15:M15"/>
    <mergeCell ref="C16:M16"/>
    <mergeCell ref="C17:M17"/>
    <mergeCell ref="C18:M18"/>
    <mergeCell ref="C19:M19"/>
    <mergeCell ref="C33:M33"/>
    <mergeCell ref="C37:M37"/>
    <mergeCell ref="P32:Z32"/>
    <mergeCell ref="AC32:AM32"/>
    <mergeCell ref="C34:M34"/>
    <mergeCell ref="C32:M32"/>
    <mergeCell ref="C7:M7"/>
    <mergeCell ref="C8:M8"/>
    <mergeCell ref="C13:M13"/>
    <mergeCell ref="C9:M9"/>
    <mergeCell ref="C10:M10"/>
    <mergeCell ref="C11:M11"/>
    <mergeCell ref="C12:M12"/>
    <mergeCell ref="C30:M30"/>
    <mergeCell ref="C31:M31"/>
    <mergeCell ref="P31:Z31"/>
    <mergeCell ref="AC31:AM31"/>
    <mergeCell ref="C35:M35"/>
    <mergeCell ref="C36:M36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BC31:BM31"/>
    <mergeCell ref="BC32:BM32"/>
    <mergeCell ref="BC39:BM39"/>
    <mergeCell ref="BP31:BZ31"/>
    <mergeCell ref="CC31:CM31"/>
    <mergeCell ref="DC32:DM32"/>
    <mergeCell ref="BP32:BZ32"/>
    <mergeCell ref="CP31:CZ31"/>
    <mergeCell ref="IC31:IM31"/>
    <mergeCell ref="EC30:EM30"/>
    <mergeCell ref="EP30:EZ30"/>
    <mergeCell ref="DP32:DZ32"/>
    <mergeCell ref="EC32:EM32"/>
    <mergeCell ref="EP32:EZ32"/>
    <mergeCell ref="FC32:FM32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HC32:HM32"/>
    <mergeCell ref="GP32:GZ32"/>
    <mergeCell ref="BP38:BZ38"/>
    <mergeCell ref="CC38:CM38"/>
    <mergeCell ref="P39:Z39"/>
    <mergeCell ref="AC39:AM39"/>
    <mergeCell ref="AP39:AZ39"/>
    <mergeCell ref="HP39:HZ39"/>
    <mergeCell ref="IC39:IM39"/>
    <mergeCell ref="HC39:HM39"/>
    <mergeCell ref="DC39:DM39"/>
    <mergeCell ref="P38:Z38"/>
    <mergeCell ref="AC38:AM38"/>
    <mergeCell ref="AP38:AZ38"/>
    <mergeCell ref="HP38:HZ38"/>
    <mergeCell ref="GC38:GM38"/>
    <mergeCell ref="GP38:GZ38"/>
    <mergeCell ref="HC38:HM38"/>
    <mergeCell ref="DP39:DZ39"/>
    <mergeCell ref="IC38:IM38"/>
    <mergeCell ref="EC39:EM39"/>
    <mergeCell ref="GC39:GM39"/>
    <mergeCell ref="BP39:BZ39"/>
    <mergeCell ref="CC39:CM39"/>
    <mergeCell ref="CP39:CZ39"/>
    <mergeCell ref="HP40:HZ40"/>
    <mergeCell ref="EC40:EM40"/>
    <mergeCell ref="IP39:IV39"/>
    <mergeCell ref="EP39:EZ39"/>
    <mergeCell ref="FC39:FM39"/>
    <mergeCell ref="FP39:FZ39"/>
    <mergeCell ref="GP39:GZ39"/>
    <mergeCell ref="IP40:IV40"/>
    <mergeCell ref="C45:M45"/>
    <mergeCell ref="DC40:DM40"/>
    <mergeCell ref="EP40:EZ40"/>
    <mergeCell ref="C44:M44"/>
    <mergeCell ref="DP40:DZ40"/>
    <mergeCell ref="IC40:IM40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CC40:CM40"/>
    <mergeCell ref="CP40:CZ40"/>
    <mergeCell ref="P40:Z40"/>
    <mergeCell ref="BP40:BZ40"/>
    <mergeCell ref="C43:M43"/>
    <mergeCell ref="BC40:BM40"/>
    <mergeCell ref="C41:M41"/>
    <mergeCell ref="C40: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2015-05-12T14:17:11Z</cp:lastPrinted>
  <dcterms:created xsi:type="dcterms:W3CDTF">1997-12-04T19:04:30Z</dcterms:created>
  <dcterms:modified xsi:type="dcterms:W3CDTF">2015-11-25T18:40:08Z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