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220" yWindow="30" windowWidth="23040" windowHeight="9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85" i="1" l="1"/>
  <c r="F244" i="1"/>
  <c r="F226" i="1"/>
  <c r="F208" i="1"/>
  <c r="J592" i="1"/>
  <c r="I592" i="1"/>
  <c r="H592" i="1"/>
  <c r="F118" i="1"/>
  <c r="D11" i="13" l="1"/>
  <c r="G613" i="1" l="1"/>
  <c r="G612" i="1"/>
  <c r="G611" i="1"/>
  <c r="F613" i="1"/>
  <c r="F612" i="1"/>
  <c r="F611" i="1"/>
  <c r="H665" i="1"/>
  <c r="G665" i="1"/>
  <c r="F665" i="1"/>
  <c r="G528" i="1" l="1"/>
  <c r="G527" i="1"/>
  <c r="G526" i="1"/>
  <c r="F533" i="1" l="1"/>
  <c r="F528" i="1" s="1"/>
  <c r="F532" i="1"/>
  <c r="F531" i="1"/>
  <c r="F526" i="1" s="1"/>
  <c r="F527" i="1"/>
  <c r="H528" i="1"/>
  <c r="H527" i="1"/>
  <c r="H526" i="1"/>
  <c r="J528" i="1"/>
  <c r="J527" i="1"/>
  <c r="J526" i="1"/>
  <c r="I528" i="1"/>
  <c r="I527" i="1"/>
  <c r="I526" i="1"/>
  <c r="J522" i="1"/>
  <c r="I522" i="1"/>
  <c r="H522" i="1"/>
  <c r="G522" i="1"/>
  <c r="F522" i="1"/>
  <c r="J523" i="1"/>
  <c r="I523" i="1"/>
  <c r="H523" i="1"/>
  <c r="G523" i="1"/>
  <c r="F523" i="1"/>
  <c r="J521" i="1"/>
  <c r="I521" i="1"/>
  <c r="H521" i="1"/>
  <c r="G521" i="1"/>
  <c r="F521" i="1"/>
  <c r="J468" i="1" l="1"/>
  <c r="J96" i="1" l="1"/>
  <c r="J604" i="1" l="1"/>
  <c r="H604" i="1"/>
  <c r="I604" i="1"/>
  <c r="G244" i="1"/>
  <c r="H591" i="1"/>
  <c r="I591" i="1"/>
  <c r="G226" i="1"/>
  <c r="H208" i="1"/>
  <c r="I208" i="1"/>
  <c r="J591" i="1"/>
  <c r="F583" i="1" l="1"/>
  <c r="F575" i="1"/>
  <c r="K251" i="1"/>
  <c r="I244" i="1" l="1"/>
  <c r="H244" i="1"/>
  <c r="F240" i="1"/>
  <c r="I239" i="1"/>
  <c r="H239" i="1"/>
  <c r="I226" i="1"/>
  <c r="H226" i="1"/>
  <c r="F222" i="1"/>
  <c r="H221" i="1"/>
  <c r="H203" i="1"/>
  <c r="F218" i="1"/>
  <c r="G208" i="1"/>
  <c r="F204" i="1"/>
  <c r="F442" i="1" l="1"/>
  <c r="J465" i="1"/>
  <c r="H135" i="1"/>
  <c r="H13" i="1"/>
  <c r="G97" i="1" l="1"/>
  <c r="G158" i="1"/>
  <c r="F50" i="1"/>
  <c r="F24" i="1"/>
  <c r="F12" i="1"/>
  <c r="F9" i="1"/>
  <c r="H155" i="1" l="1"/>
  <c r="H159" i="1"/>
  <c r="H154" i="1"/>
  <c r="F276" i="1" l="1"/>
  <c r="H320" i="1"/>
  <c r="H301" i="1"/>
  <c r="H282" i="1"/>
  <c r="G320" i="1"/>
  <c r="G301" i="1"/>
  <c r="G282" i="1"/>
  <c r="F320" i="1"/>
  <c r="F301" i="1"/>
  <c r="F282" i="1"/>
  <c r="I320" i="1"/>
  <c r="I301" i="1"/>
  <c r="I282" i="1"/>
  <c r="G276" i="1"/>
  <c r="J314" i="1"/>
  <c r="J295" i="1"/>
  <c r="J276" i="1"/>
  <c r="I314" i="1"/>
  <c r="I295" i="1"/>
  <c r="I276" i="1"/>
  <c r="G314" i="1"/>
  <c r="G295" i="1"/>
  <c r="F314" i="1"/>
  <c r="F295" i="1"/>
  <c r="K333" i="1"/>
  <c r="H277" i="1"/>
  <c r="G277" i="1"/>
  <c r="F277" i="1"/>
  <c r="J315" i="1"/>
  <c r="J296" i="1"/>
  <c r="J277" i="1"/>
  <c r="J282" i="1"/>
  <c r="I315" i="1"/>
  <c r="I296" i="1"/>
  <c r="I277" i="1"/>
  <c r="H315" i="1"/>
  <c r="H296" i="1"/>
  <c r="G315" i="1"/>
  <c r="G296" i="1"/>
  <c r="F315" i="1"/>
  <c r="F296" i="1"/>
  <c r="J320" i="1"/>
  <c r="J301" i="1"/>
  <c r="I303" i="1"/>
  <c r="I317" i="1"/>
  <c r="I298" i="1"/>
  <c r="H324" i="1"/>
  <c r="H321" i="1"/>
  <c r="H302" i="1"/>
  <c r="H283" i="1"/>
  <c r="H319" i="1"/>
  <c r="H300" i="1"/>
  <c r="H281" i="1"/>
  <c r="H298" i="1"/>
  <c r="H276" i="1"/>
  <c r="G319" i="1"/>
  <c r="F319" i="1"/>
  <c r="G287" i="1"/>
  <c r="F287" i="1"/>
  <c r="I287" i="1"/>
  <c r="I279" i="1"/>
  <c r="F279" i="1"/>
  <c r="K244" i="1" l="1"/>
  <c r="K226" i="1"/>
  <c r="K208" i="1"/>
  <c r="K240" i="1" l="1"/>
  <c r="I240" i="1"/>
  <c r="K222" i="1"/>
  <c r="I222" i="1"/>
  <c r="I221" i="1"/>
  <c r="K204" i="1"/>
  <c r="I204" i="1"/>
  <c r="H240" i="1"/>
  <c r="H222" i="1"/>
  <c r="H204" i="1"/>
  <c r="G240" i="1"/>
  <c r="G222" i="1"/>
  <c r="G204" i="1"/>
  <c r="K220" i="1"/>
  <c r="J239" i="1"/>
  <c r="J221" i="1"/>
  <c r="J203" i="1"/>
  <c r="I203" i="1"/>
  <c r="G239" i="1"/>
  <c r="G221" i="1"/>
  <c r="G203" i="1"/>
  <c r="F239" i="1"/>
  <c r="F221" i="1"/>
  <c r="F203" i="1"/>
  <c r="K238" i="1"/>
  <c r="J202" i="1"/>
  <c r="I202" i="1"/>
  <c r="I220" i="1"/>
  <c r="I238" i="1"/>
  <c r="H238" i="1"/>
  <c r="H220" i="1"/>
  <c r="H202" i="1"/>
  <c r="G202" i="1"/>
  <c r="G220" i="1"/>
  <c r="G238" i="1"/>
  <c r="F238" i="1"/>
  <c r="F220" i="1"/>
  <c r="F202" i="1"/>
  <c r="K236" i="1"/>
  <c r="J236" i="1"/>
  <c r="I236" i="1"/>
  <c r="H236" i="1"/>
  <c r="G236" i="1"/>
  <c r="F236" i="1"/>
  <c r="K218" i="1"/>
  <c r="J218" i="1"/>
  <c r="I218" i="1"/>
  <c r="H218" i="1"/>
  <c r="G218" i="1"/>
  <c r="F233" i="1" l="1"/>
  <c r="F215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D18" i="13" s="1"/>
  <c r="C18" i="13" s="1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E123" i="2" s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2" i="12" s="1"/>
  <c r="B13" i="12"/>
  <c r="C9" i="12"/>
  <c r="C10" i="12" s="1"/>
  <c r="C13" i="12" s="1"/>
  <c r="B18" i="12"/>
  <c r="B21" i="12" s="1"/>
  <c r="B22" i="12" s="1"/>
  <c r="C18" i="12"/>
  <c r="C19" i="12" s="1"/>
  <c r="C22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9" i="10"/>
  <c r="L250" i="1"/>
  <c r="L332" i="1"/>
  <c r="L254" i="1"/>
  <c r="C25" i="10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1" i="2"/>
  <c r="E111" i="2"/>
  <c r="E112" i="2"/>
  <c r="C113" i="2"/>
  <c r="E113" i="2"/>
  <c r="C114" i="2"/>
  <c r="E114" i="2"/>
  <c r="D115" i="2"/>
  <c r="F115" i="2"/>
  <c r="G115" i="2"/>
  <c r="E118" i="2"/>
  <c r="C120" i="2"/>
  <c r="E121" i="2"/>
  <c r="C122" i="2"/>
  <c r="E122" i="2"/>
  <c r="C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G460" i="1"/>
  <c r="H460" i="1"/>
  <c r="G461" i="1"/>
  <c r="H461" i="1"/>
  <c r="G470" i="1"/>
  <c r="I470" i="1"/>
  <c r="J470" i="1"/>
  <c r="G474" i="1"/>
  <c r="G476" i="1" s="1"/>
  <c r="H623" i="1" s="1"/>
  <c r="J623" i="1" s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2" i="1"/>
  <c r="G623" i="1"/>
  <c r="G624" i="1"/>
  <c r="G625" i="1"/>
  <c r="H628" i="1"/>
  <c r="H630" i="1"/>
  <c r="H631" i="1"/>
  <c r="H635" i="1"/>
  <c r="H636" i="1"/>
  <c r="J636" i="1" s="1"/>
  <c r="H637" i="1"/>
  <c r="G639" i="1"/>
  <c r="G640" i="1"/>
  <c r="H640" i="1"/>
  <c r="G641" i="1"/>
  <c r="H641" i="1"/>
  <c r="J641" i="1" s="1"/>
  <c r="G643" i="1"/>
  <c r="G644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C26" i="10"/>
  <c r="L328" i="1"/>
  <c r="L351" i="1"/>
  <c r="L290" i="1"/>
  <c r="A40" i="12"/>
  <c r="D12" i="13"/>
  <c r="C12" i="13" s="1"/>
  <c r="D17" i="13"/>
  <c r="C17" i="13" s="1"/>
  <c r="F78" i="2"/>
  <c r="F81" i="2" s="1"/>
  <c r="D50" i="2"/>
  <c r="F18" i="2"/>
  <c r="D91" i="2"/>
  <c r="E62" i="2"/>
  <c r="E63" i="2" s="1"/>
  <c r="G62" i="2"/>
  <c r="D19" i="13"/>
  <c r="C19" i="13" s="1"/>
  <c r="E13" i="13"/>
  <c r="C13" i="13" s="1"/>
  <c r="H112" i="1"/>
  <c r="I169" i="1"/>
  <c r="H169" i="1"/>
  <c r="J140" i="1"/>
  <c r="I552" i="1"/>
  <c r="G22" i="2"/>
  <c r="J552" i="1"/>
  <c r="H552" i="1"/>
  <c r="C29" i="10"/>
  <c r="H140" i="1"/>
  <c r="L401" i="1"/>
  <c r="C139" i="2" s="1"/>
  <c r="L393" i="1"/>
  <c r="C138" i="2" s="1"/>
  <c r="F22" i="13"/>
  <c r="C22" i="13" s="1"/>
  <c r="H25" i="13"/>
  <c r="C25" i="13" s="1"/>
  <c r="J640" i="1"/>
  <c r="F338" i="1"/>
  <c r="F352" i="1" s="1"/>
  <c r="H192" i="1"/>
  <c r="F552" i="1"/>
  <c r="C35" i="10"/>
  <c r="L309" i="1"/>
  <c r="I571" i="1"/>
  <c r="G36" i="2"/>
  <c r="H545" i="1"/>
  <c r="C56" i="2" l="1"/>
  <c r="D15" i="13"/>
  <c r="C15" i="13" s="1"/>
  <c r="J571" i="1"/>
  <c r="F571" i="1"/>
  <c r="K571" i="1"/>
  <c r="L565" i="1"/>
  <c r="L560" i="1"/>
  <c r="G408" i="1"/>
  <c r="H645" i="1" s="1"/>
  <c r="F408" i="1"/>
  <c r="H643" i="1" s="1"/>
  <c r="J643" i="1" s="1"/>
  <c r="E16" i="13"/>
  <c r="C16" i="13" s="1"/>
  <c r="F459" i="1"/>
  <c r="L433" i="1"/>
  <c r="L427" i="1"/>
  <c r="G192" i="1"/>
  <c r="H52" i="1"/>
  <c r="H619" i="1" s="1"/>
  <c r="H662" i="1"/>
  <c r="H408" i="1"/>
  <c r="H644" i="1" s="1"/>
  <c r="J644" i="1" s="1"/>
  <c r="E103" i="2"/>
  <c r="G662" i="1"/>
  <c r="A13" i="12"/>
  <c r="C78" i="2"/>
  <c r="E78" i="2"/>
  <c r="E81" i="2" s="1"/>
  <c r="D31" i="2"/>
  <c r="E31" i="2"/>
  <c r="C18" i="2"/>
  <c r="L544" i="1"/>
  <c r="K549" i="1"/>
  <c r="K551" i="1"/>
  <c r="J545" i="1"/>
  <c r="G552" i="1"/>
  <c r="K550" i="1"/>
  <c r="L529" i="1"/>
  <c r="I545" i="1"/>
  <c r="G545" i="1"/>
  <c r="G161" i="2"/>
  <c r="K500" i="1"/>
  <c r="G81" i="2"/>
  <c r="K605" i="1"/>
  <c r="G648" i="1" s="1"/>
  <c r="C124" i="2"/>
  <c r="J651" i="1"/>
  <c r="J649" i="1"/>
  <c r="K598" i="1"/>
  <c r="G647" i="1" s="1"/>
  <c r="J647" i="1" s="1"/>
  <c r="D62" i="2"/>
  <c r="D63" i="2" s="1"/>
  <c r="G164" i="2"/>
  <c r="H33" i="13"/>
  <c r="G157" i="2"/>
  <c r="G156" i="2"/>
  <c r="D81" i="2"/>
  <c r="C70" i="2"/>
  <c r="D18" i="2"/>
  <c r="L256" i="1"/>
  <c r="F662" i="1"/>
  <c r="I662" i="1" s="1"/>
  <c r="I476" i="1"/>
  <c r="H625" i="1" s="1"/>
  <c r="J625" i="1" s="1"/>
  <c r="C91" i="2"/>
  <c r="J617" i="1"/>
  <c r="G645" i="1"/>
  <c r="J645" i="1" s="1"/>
  <c r="K503" i="1"/>
  <c r="C121" i="2"/>
  <c r="C62" i="2"/>
  <c r="J634" i="1"/>
  <c r="D127" i="2"/>
  <c r="D128" i="2" s="1"/>
  <c r="D145" i="2" s="1"/>
  <c r="H661" i="1"/>
  <c r="D29" i="13"/>
  <c r="C29" i="13" s="1"/>
  <c r="F661" i="1"/>
  <c r="G661" i="1"/>
  <c r="L362" i="1"/>
  <c r="C11" i="10"/>
  <c r="C20" i="10"/>
  <c r="E120" i="2"/>
  <c r="E119" i="2"/>
  <c r="H338" i="1"/>
  <c r="H352" i="1" s="1"/>
  <c r="C13" i="10"/>
  <c r="G338" i="1"/>
  <c r="G352" i="1" s="1"/>
  <c r="E110" i="2"/>
  <c r="E115" i="2" s="1"/>
  <c r="C21" i="10"/>
  <c r="D14" i="13"/>
  <c r="C14" i="13" s="1"/>
  <c r="C18" i="10"/>
  <c r="C17" i="10"/>
  <c r="E8" i="13"/>
  <c r="C8" i="13" s="1"/>
  <c r="D7" i="13"/>
  <c r="C7" i="13" s="1"/>
  <c r="C16" i="10"/>
  <c r="C119" i="2"/>
  <c r="K257" i="1"/>
  <c r="K271" i="1" s="1"/>
  <c r="J257" i="1"/>
  <c r="J271" i="1" s="1"/>
  <c r="C118" i="2"/>
  <c r="D6" i="13"/>
  <c r="C6" i="13" s="1"/>
  <c r="C15" i="10"/>
  <c r="F257" i="1"/>
  <c r="F271" i="1" s="1"/>
  <c r="C112" i="2"/>
  <c r="C115" i="2" s="1"/>
  <c r="G257" i="1"/>
  <c r="G271" i="1" s="1"/>
  <c r="I257" i="1"/>
  <c r="I271" i="1" s="1"/>
  <c r="D5" i="13"/>
  <c r="C5" i="13" s="1"/>
  <c r="L247" i="1"/>
  <c r="H660" i="1" s="1"/>
  <c r="L229" i="1"/>
  <c r="G660" i="1" s="1"/>
  <c r="H257" i="1"/>
  <c r="H271" i="1" s="1"/>
  <c r="C10" i="10"/>
  <c r="L211" i="1"/>
  <c r="F660" i="1" s="1"/>
  <c r="L337" i="1"/>
  <c r="L338" i="1" s="1"/>
  <c r="L352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J193" i="1"/>
  <c r="G646" i="1" s="1"/>
  <c r="H193" i="1"/>
  <c r="G169" i="1"/>
  <c r="C39" i="10" s="1"/>
  <c r="G140" i="1"/>
  <c r="F140" i="1"/>
  <c r="C36" i="10"/>
  <c r="G63" i="2"/>
  <c r="J618" i="1"/>
  <c r="G42" i="2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H648" i="1"/>
  <c r="J652" i="1"/>
  <c r="G571" i="1"/>
  <c r="I434" i="1"/>
  <c r="G434" i="1"/>
  <c r="I663" i="1"/>
  <c r="C27" i="10"/>
  <c r="C63" i="2" l="1"/>
  <c r="G104" i="2"/>
  <c r="F104" i="2"/>
  <c r="C81" i="2"/>
  <c r="G629" i="1"/>
  <c r="H468" i="1"/>
  <c r="F460" i="1"/>
  <c r="F461" i="1" s="1"/>
  <c r="H639" i="1" s="1"/>
  <c r="J639" i="1" s="1"/>
  <c r="I459" i="1"/>
  <c r="L545" i="1"/>
  <c r="K552" i="1"/>
  <c r="G638" i="1"/>
  <c r="J472" i="1"/>
  <c r="J648" i="1"/>
  <c r="I193" i="1"/>
  <c r="G630" i="1" s="1"/>
  <c r="J630" i="1" s="1"/>
  <c r="G635" i="1"/>
  <c r="J635" i="1" s="1"/>
  <c r="G633" i="1"/>
  <c r="H472" i="1"/>
  <c r="H646" i="1"/>
  <c r="H664" i="1"/>
  <c r="H667" i="1" s="1"/>
  <c r="I661" i="1"/>
  <c r="G664" i="1"/>
  <c r="G667" i="1" s="1"/>
  <c r="D31" i="13"/>
  <c r="C31" i="13" s="1"/>
  <c r="E128" i="2"/>
  <c r="E145" i="2" s="1"/>
  <c r="F33" i="13"/>
  <c r="E33" i="13"/>
  <c r="D35" i="13" s="1"/>
  <c r="C128" i="2"/>
  <c r="C145" i="2" s="1"/>
  <c r="C28" i="10"/>
  <c r="D19" i="10" s="1"/>
  <c r="L257" i="1"/>
  <c r="L271" i="1" s="1"/>
  <c r="F664" i="1"/>
  <c r="I660" i="1"/>
  <c r="C51" i="2"/>
  <c r="G631" i="1"/>
  <c r="J631" i="1" s="1"/>
  <c r="J646" i="1"/>
  <c r="G193" i="1"/>
  <c r="G628" i="1" s="1"/>
  <c r="J628" i="1" s="1"/>
  <c r="C38" i="10"/>
  <c r="C104" i="2" l="1"/>
  <c r="J48" i="1"/>
  <c r="I460" i="1"/>
  <c r="I461" i="1" s="1"/>
  <c r="H642" i="1" s="1"/>
  <c r="J642" i="1" s="1"/>
  <c r="J474" i="1"/>
  <c r="J476" i="1" s="1"/>
  <c r="H626" i="1" s="1"/>
  <c r="H638" i="1"/>
  <c r="J638" i="1" s="1"/>
  <c r="H629" i="1"/>
  <c r="J629" i="1" s="1"/>
  <c r="H470" i="1"/>
  <c r="H474" i="1"/>
  <c r="H476" i="1" s="1"/>
  <c r="H624" i="1" s="1"/>
  <c r="J624" i="1" s="1"/>
  <c r="H633" i="1"/>
  <c r="J633" i="1"/>
  <c r="G632" i="1"/>
  <c r="F472" i="1"/>
  <c r="H672" i="1"/>
  <c r="C6" i="10" s="1"/>
  <c r="I664" i="1"/>
  <c r="I672" i="1" s="1"/>
  <c r="C7" i="10" s="1"/>
  <c r="G672" i="1"/>
  <c r="C5" i="10" s="1"/>
  <c r="D33" i="13"/>
  <c r="D36" i="13" s="1"/>
  <c r="D24" i="10"/>
  <c r="D10" i="10"/>
  <c r="D18" i="10"/>
  <c r="C30" i="10"/>
  <c r="D21" i="10"/>
  <c r="D26" i="10"/>
  <c r="D12" i="10"/>
  <c r="D27" i="10"/>
  <c r="D11" i="10"/>
  <c r="D22" i="10"/>
  <c r="D13" i="10"/>
  <c r="D17" i="10"/>
  <c r="D16" i="10"/>
  <c r="D23" i="10"/>
  <c r="D20" i="10"/>
  <c r="D15" i="10"/>
  <c r="D25" i="10"/>
  <c r="F672" i="1"/>
  <c r="C4" i="10" s="1"/>
  <c r="F667" i="1"/>
  <c r="C41" i="10"/>
  <c r="D38" i="10" s="1"/>
  <c r="G47" i="2" l="1"/>
  <c r="G50" i="2" s="1"/>
  <c r="G51" i="2" s="1"/>
  <c r="J51" i="1"/>
  <c r="F474" i="1"/>
  <c r="H632" i="1"/>
  <c r="J632" i="1" s="1"/>
  <c r="I667" i="1"/>
  <c r="D28" i="10"/>
  <c r="D37" i="10"/>
  <c r="D36" i="10"/>
  <c r="D35" i="10"/>
  <c r="D40" i="10"/>
  <c r="D39" i="10"/>
  <c r="G626" i="1" l="1"/>
  <c r="J626" i="1" s="1"/>
  <c r="J52" i="1"/>
  <c r="H621" i="1" s="1"/>
  <c r="J621" i="1" s="1"/>
  <c r="D41" i="10"/>
  <c r="F183" i="1"/>
  <c r="F192" i="1"/>
  <c r="F193" i="1"/>
  <c r="F468" i="1" s="1"/>
  <c r="H627" i="1" s="1"/>
  <c r="G627" i="1" l="1"/>
  <c r="J627" i="1" s="1"/>
  <c r="F470" i="1"/>
  <c r="F476" i="1" s="1"/>
  <c r="H622" i="1" s="1"/>
  <c r="J622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<sst xmlns="http://schemas.openxmlformats.org/spreadsheetml/2006/main" count="3959" uniqueCount="917">
  <si>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</si>
  <si>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</si>
  <si>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</si>
  <si>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</si>
  <si>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</si>
  <si>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</si>
  <si>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</si>
  <si>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</si>
  <si>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</si>
  <si>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</si>
  <si>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</si>
  <si>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</si>
  <si>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</si>
  <si>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</si>
  <si>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</si>
  <si>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</si>
  <si>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</si>
  <si>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</si>
  <si>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</si>
  <si>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</si>
  <si>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</si>
  <si>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</si>
  <si>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</si>
  <si>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</si>
  <si>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</si>
  <si>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</si>
  <si>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</si>
  <si>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</si>
  <si>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</si>
  <si>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</si>
  <si>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</si>
  <si>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</si>
  <si>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</si>
  <si>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</si>
  <si>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</si>
  <si>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</si>
  <si>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</si>
  <si>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</si>
  <si>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</si>
  <si>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</si>
  <si>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</si>
  <si>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</si>
  <si>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</si>
  <si>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</si>
  <si>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</si>
  <si>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</si>
  <si>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</si>
  <si>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</si>
  <si>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</si>
  <si>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</si>
  <si>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</si>
  <si>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</si>
  <si>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</si>
  <si>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</si>
  <si>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</si>
  <si>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</si>
  <si>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</si>
  <si>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</si>
  <si>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</si>
  <si>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</si>
  <si>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</si>
  <si>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</si>
  <si>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</si>
  <si>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</si>
  <si>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</si>
  <si>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</si>
  <si>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</si>
  <si>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</si>
  <si>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</si>
  <si>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</si>
  <si>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</si>
  <si>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</si>
  <si>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</si>
  <si>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</si>
  <si>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</si>
  <si>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</si>
  <si>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</si>
  <si>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</si>
  <si>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</si>
  <si>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</si>
  <si>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</si>
  <si>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</si>
  <si>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</si>
  <si>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</si>
  <si>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</si>
  <si>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</si>
  <si>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</si>
  <si>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</si>
  <si>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</si>
  <si>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</si>
  <si>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</si>
  <si>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</si>
  <si>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</si>
  <si>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</si>
  <si>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</si>
  <si>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</si>
  <si>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</si>
  <si>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</si>
  <si>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</si>
  <si>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</si>
  <si>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</si>
  <si>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</si>
  <si>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</si>
  <si>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</si>
  <si>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</si>
  <si>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</si>
  <si>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</si>
  <si>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</si>
  <si>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</si>
  <si>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</si>
  <si>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</si>
  <si>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</si>
  <si>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</si>
  <si>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</si>
  <si>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</si>
  <si>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</si>
  <si>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</si>
  <si>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</si>
  <si>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</si>
  <si>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</si>
  <si>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</si>
  <si>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</si>
  <si>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</si>
  <si>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</si>
  <si>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</si>
  <si>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</si>
  <si>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</si>
  <si>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</si>
  <si>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</si>
  <si>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</si>
  <si>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</si>
  <si>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</si>
  <si>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</si>
  <si>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</si>
  <si>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</si>
  <si>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</si>
  <si>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</si>
  <si>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</si>
  <si>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</si>
  <si>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</si>
  <si>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</si>
  <si>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</si>
  <si>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</si>
  <si>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</si>
  <si>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</si>
  <si>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</si>
  <si>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</si>
  <si>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</si>
  <si>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</si>
  <si>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</si>
  <si>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</si>
  <si>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</si>
  <si>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</si>
  <si>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</si>
  <si>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</si>
  <si>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</si>
  <si>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</si>
  <si>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</si>
  <si>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</si>
  <si>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</si>
  <si>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</si>
  <si>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</si>
  <si>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</si>
  <si>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</si>
  <si>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</si>
  <si>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</si>
  <si>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</si>
  <si>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</si>
  <si>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</si>
  <si>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</si>
  <si>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</si>
  <si>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</si>
  <si>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</si>
  <si>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</si>
  <si>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</si>
  <si>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</si>
  <si>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</si>
  <si>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</si>
  <si>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</si>
  <si>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</si>
  <si>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</si>
  <si>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</si>
  <si>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</si>
  <si>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</si>
  <si>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</si>
  <si>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</si>
  <si>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</si>
  <si>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</si>
  <si>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</si>
  <si>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</si>
  <si>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</si>
  <si>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</si>
  <si>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</si>
  <si>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</si>
  <si>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</si>
  <si>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</si>
  <si>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</si>
  <si>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</si>
  <si>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</si>
  <si>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</si>
  <si>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</si>
  <si>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</si>
  <si>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</si>
  <si>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</si>
  <si>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</si>
  <si>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</si>
  <si>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</si>
  <si>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</si>
  <si>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</si>
  <si>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</si>
  <si>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</si>
  <si>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</si>
  <si>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</si>
  <si>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</si>
  <si>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</si>
  <si>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</si>
  <si>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</si>
  <si>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</si>
  <si>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</si>
  <si>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</si>
  <si>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</si>
  <si>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</si>
  <si>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</si>
  <si>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</si>
  <si>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</si>
  <si>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</si>
  <si>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</si>
  <si>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</si>
  <si>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</si>
  <si>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</si>
  <si>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</si>
  <si>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</si>
  <si>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</si>
  <si>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</si>
  <si>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</si>
  <si>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</si>
  <si>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</si>
  <si>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</si>
  <si>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</si>
  <si>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</si>
  <si>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</si>
  <si>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</si>
  <si>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</si>
  <si>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</si>
  <si>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</si>
  <si>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</si>
  <si>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</si>
  <si>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</si>
  <si>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</si>
  <si>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</si>
  <si>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</si>
  <si>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</si>
  <si>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</si>
  <si>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</si>
  <si>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</si>
  <si>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</si>
  <si>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</si>
  <si>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</si>
  <si>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</si>
  <si>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</si>
  <si>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</si>
  <si>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</si>
  <si>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</si>
  <si>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</si>
  <si>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</si>
  <si>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</si>
  <si>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</si>
  <si>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</si>
  <si>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</si>
  <si>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</si>
  <si>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</si>
  <si>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</si>
  <si>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</si>
  <si>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</si>
  <si>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</si>
  <si>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</si>
  <si>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</si>
  <si>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</si>
  <si>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</si>
  <si>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</si>
  <si>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</si>
  <si>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</si>
  <si>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</si>
  <si>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</si>
  <si>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</si>
  <si>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</si>
  <si>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</si>
  <si>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</si>
  <si>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</si>
  <si>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</si>
  <si>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</si>
  <si>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</si>
  <si>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</si>
  <si>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</si>
  <si>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</si>
  <si>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</si>
  <si>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</si>
  <si>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</si>
  <si>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</si>
  <si>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</si>
  <si>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</si>
  <si>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</si>
  <si>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</si>
  <si>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</si>
  <si>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</si>
  <si>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</si>
  <si>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</si>
  <si>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</si>
  <si>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</si>
  <si>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</si>
  <si>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</si>
  <si>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</si>
  <si>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</si>
  <si>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</si>
  <si>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</si>
  <si>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</si>
  <si>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</si>
  <si>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</si>
  <si>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</si>
  <si>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</si>
  <si>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</si>
  <si>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</si>
  <si>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</si>
  <si>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</si>
  <si>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</si>
  <si>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</si>
  <si>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</si>
  <si>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</si>
  <si>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</si>
  <si>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</si>
  <si>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</si>
  <si>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</si>
  <si>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</si>
  <si>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</si>
  <si>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</si>
  <si>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</si>
  <si>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</si>
  <si>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</si>
  <si>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</si>
  <si>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</si>
  <si>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</si>
  <si>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</si>
  <si>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</si>
  <si>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</si>
  <si>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</si>
  <si>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</si>
  <si>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</si>
  <si>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</si>
  <si>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</si>
  <si>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</si>
  <si>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</si>
  <si>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</si>
  <si>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</si>
  <si>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</si>
  <si>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</si>
  <si>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</si>
  <si>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</si>
  <si>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</si>
  <si>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</si>
  <si>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</si>
  <si>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</si>
  <si>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</si>
  <si>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</si>
  <si>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</si>
  <si>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</si>
  <si>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</si>
  <si>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</si>
  <si>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</si>
  <si>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</si>
  <si>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</si>
  <si>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</si>
  <si>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</si>
  <si>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</si>
  <si>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</si>
  <si>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</si>
  <si>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</si>
  <si>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</si>
  <si>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</si>
  <si>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</si>
  <si>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</si>
  <si>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</si>
  <si>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</si>
  <si>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</si>
  <si>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</si>
  <si>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</si>
  <si>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</si>
  <si>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</si>
  <si>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</si>
  <si>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</si>
  <si>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</si>
  <si>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</si>
  <si>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</si>
  <si>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</si>
  <si>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</si>
  <si>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</si>
  <si>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</si>
  <si>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</si>
  <si>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</si>
  <si>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</si>
  <si>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</si>
  <si>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</si>
  <si>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</si>
  <si>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</si>
  <si>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</si>
  <si>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</si>
  <si>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</si>
  <si>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</si>
  <si>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</si>
  <si>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</si>
  <si>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</si>
  <si>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</si>
  <si>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</si>
  <si>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</si>
  <si>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</si>
  <si>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</si>
  <si>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</si>
  <si>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</si>
  <si>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</si>
  <si>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</si>
  <si>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</si>
  <si>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</si>
  <si>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</si>
  <si>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</si>
  <si>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</si>
  <si>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</si>
  <si>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</si>
  <si>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</si>
  <si>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</si>
  <si>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</si>
  <si>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</si>
  <si>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</si>
  <si>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</si>
  <si>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</si>
  <si>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</si>
  <si>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</si>
  <si>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</si>
  <si>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</si>
  <si>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</si>
  <si>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</si>
  <si>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</si>
  <si>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</si>
  <si>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</si>
  <si>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</si>
  <si>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</si>
  <si>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</si>
  <si>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</si>
  <si>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</si>
  <si>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</si>
  <si>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</si>
  <si>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</si>
  <si>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</si>
  <si>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</si>
  <si>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</si>
  <si>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</si>
  <si>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</si>
  <si>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</si>
  <si>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</si>
  <si>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</si>
  <si>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</si>
  <si>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</si>
  <si>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</si>
  <si>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</si>
  <si>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</si>
  <si>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</si>
  <si>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</si>
  <si>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</si>
  <si>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</si>
  <si>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</si>
  <si>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</si>
  <si>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</si>
  <si>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</si>
  <si>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</si>
  <si>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</si>
  <si>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</si>
  <si>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</si>
  <si>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</si>
  <si>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</si>
  <si>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</si>
  <si>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</si>
  <si>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</si>
  <si>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</si>
  <si>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</si>
  <si>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</si>
  <si>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</si>
  <si>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</si>
  <si>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</si>
  <si>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</si>
  <si>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</si>
  <si>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</si>
  <si>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</si>
  <si>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</si>
  <si>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</si>
  <si>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</si>
  <si>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</si>
  <si>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</si>
  <si>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</si>
  <si>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</si>
  <si>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</si>
  <si>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</si>
  <si>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</si>
  <si>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</si>
  <si>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</si>
  <si>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</si>
  <si>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</si>
  <si>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</si>
  <si>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</si>
  <si>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</si>
  <si>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</si>
  <si>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</si>
  <si>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</si>
  <si>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</si>
  <si>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</si>
  <si>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</si>
  <si>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</si>
  <si>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</si>
  <si>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</si>
  <si>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</si>
  <si>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</si>
  <si>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</si>
  <si>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</si>
  <si>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</si>
  <si>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</si>
  <si>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</si>
  <si>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</si>
  <si>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</si>
  <si>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</si>
  <si>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</si>
  <si>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</si>
  <si>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</si>
  <si>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</si>
  <si>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</si>
  <si>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</si>
  <si>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</si>
  <si>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</si>
  <si>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</si>
  <si>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</si>
  <si>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</si>
  <si>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</si>
  <si>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</si>
  <si>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</si>
  <si>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</si>
  <si>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</si>
  <si>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</si>
  <si>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</si>
  <si>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</si>
  <si>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</si>
  <si>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</si>
  <si>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</si>
  <si>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</si>
  <si>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</si>
  <si>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</si>
  <si>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</si>
  <si>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</si>
  <si>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</si>
  <si>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</si>
  <si>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</si>
  <si>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</si>
  <si>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</si>
  <si>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</si>
  <si>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</si>
  <si>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</si>
  <si>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</si>
  <si>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</si>
  <si>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</si>
  <si>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</si>
  <si>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</si>
  <si>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</si>
  <si>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</si>
  <si>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</si>
  <si>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</si>
  <si>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</si>
  <si>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</si>
  <si>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</si>
  <si>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</si>
  <si>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</si>
  <si>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</si>
  <si>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</si>
  <si>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</si>
  <si>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</si>
  <si>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</si>
  <si>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</si>
  <si>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</si>
  <si>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</si>
  <si>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</si>
  <si>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</si>
  <si>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</si>
  <si>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</si>
  <si>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</si>
  <si>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</si>
  <si>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</si>
  <si>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</si>
  <si>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</si>
  <si>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</si>
  <si>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</si>
  <si>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</si>
  <si>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</si>
  <si>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</si>
  <si>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</si>
  <si>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</si>
  <si>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</si>
  <si>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</si>
  <si>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</si>
  <si>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</si>
  <si>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</si>
  <si>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</si>
  <si>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</si>
  <si>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</si>
  <si>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</si>
  <si>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</si>
  <si>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</si>
  <si>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</si>
  <si>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</si>
  <si>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</si>
  <si>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</si>
  <si>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</si>
  <si>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</si>
  <si>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</si>
  <si>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</si>
  <si>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</si>
  <si>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</si>
  <si>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</si>
  <si>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</si>
  <si>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</si>
  <si>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</si>
  <si>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</si>
  <si>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</si>
  <si>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</si>
  <si>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</si>
  <si>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</si>
  <si>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</si>
  <si>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</si>
  <si>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</si>
  <si>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</si>
  <si>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</si>
  <si>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</si>
  <si>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</si>
  <si>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</si>
  <si>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</si>
  <si>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</si>
  <si>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</si>
  <si>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</si>
  <si>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</si>
  <si>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</si>
  <si>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</si>
  <si>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</si>
  <si>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</si>
  <si>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</si>
  <si>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</si>
  <si>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</si>
  <si>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</si>
  <si>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</si>
  <si>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</si>
  <si>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</si>
  <si>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</si>
  <si>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</si>
  <si>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</si>
  <si>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</si>
  <si>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</si>
  <si>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</si>
  <si>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</si>
  <si>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</si>
  <si>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</si>
  <si>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</si>
  <si>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</si>
  <si>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</si>
  <si>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</si>
  <si>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</si>
  <si>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</si>
  <si>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</si>
  <si>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</si>
  <si>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</si>
  <si>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</si>
  <si>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</si>
  <si>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</si>
  <si>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</si>
  <si>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</si>
  <si>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</si>
  <si>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</si>
  <si>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</si>
  <si>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</si>
  <si>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</si>
  <si>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</si>
  <si>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</si>
  <si>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</si>
  <si>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</si>
  <si>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</si>
  <si>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</si>
  <si>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</si>
  <si>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</si>
  <si>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</si>
  <si>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</si>
  <si>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</si>
  <si>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</si>
  <si>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</si>
  <si>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</si>
  <si>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</si>
  <si>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</si>
  <si>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</si>
  <si>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</si>
  <si>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</si>
  <si>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</si>
  <si>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</si>
  <si>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</si>
  <si>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</si>
  <si>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</si>
  <si>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</si>
  <si>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</si>
  <si>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</si>
  <si>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</si>
  <si>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</si>
  <si>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</si>
  <si>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</si>
  <si>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</si>
  <si>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</si>
  <si>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</si>
  <si>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</si>
  <si>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</si>
  <si>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</si>
  <si>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</si>
  <si>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</si>
  <si>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</si>
  <si>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</si>
  <si>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</si>
  <si>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</si>
  <si>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</si>
  <si>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</si>
  <si>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</si>
  <si>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</si>
  <si>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</si>
  <si>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</si>
  <si>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</si>
  <si>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</si>
  <si>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</si>
  <si>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</si>
  <si>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</si>
  <si>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</si>
  <si>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</si>
  <si>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</si>
  <si>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</si>
  <si>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</si>
  <si>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</si>
  <si>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</si>
  <si>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</si>
  <si>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</si>
  <si>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</si>
  <si>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</si>
  <si>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</si>
  <si>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</si>
  <si>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</si>
  <si>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</si>
  <si>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</si>
  <si>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</si>
  <si>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</si>
  <si>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</si>
  <si>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</si>
  <si>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</si>
  <si>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</si>
  <si>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</si>
  <si>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</si>
  <si>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</si>
  <si>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</si>
  <si>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</si>
  <si>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</si>
  <si>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</si>
  <si>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</si>
  <si>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</si>
  <si>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</si>
  <si>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</si>
  <si>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</si>
  <si>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</si>
  <si>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</si>
  <si>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</si>
  <si>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</si>
  <si>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</si>
  <si>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</si>
  <si>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</si>
  <si>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</si>
  <si>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</si>
  <si>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</si>
  <si>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</si>
  <si>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</si>
  <si>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</si>
  <si>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</si>
  <si>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</si>
  <si>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</si>
  <si>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</si>
  <si>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</si>
  <si>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</si>
  <si>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</si>
  <si>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</si>
  <si>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</si>
  <si>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</si>
  <si>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</si>
  <si>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</si>
  <si>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</si>
  <si>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</si>
  <si>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</si>
  <si>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</si>
  <si>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</si>
  <si>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</si>
  <si>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</si>
  <si>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</si>
  <si>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</si>
  <si>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</si>
  <si>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</si>
  <si>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</si>
  <si>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</si>
  <si>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</si>
  <si>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</si>
  <si>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</si>
  <si>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</si>
  <si>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</si>
  <si>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</si>
  <si>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</si>
  <si>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</si>
  <si>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</si>
  <si>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</si>
  <si>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</si>
  <si>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</si>
  <si>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</si>
  <si>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</si>
  <si>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</si>
  <si>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</si>
  <si>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</si>
  <si>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</si>
  <si>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</si>
  <si>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</si>
  <si>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</si>
  <si>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</si>
  <si>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</si>
  <si>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</si>
  <si>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</si>
  <si>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</si>
  <si>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</si>
  <si>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</si>
  <si>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</si>
  <si>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</si>
  <si>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</si>
  <si>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</si>
  <si>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</si>
  <si>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</si>
  <si>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</si>
  <si>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</si>
  <si>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</si>
  <si>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</si>
  <si>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</si>
  <si>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</si>
  <si>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</si>
  <si>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</si>
  <si>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</si>
  <si>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</si>
  <si>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</si>
  <si>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</si>
  <si>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</si>
  <si>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</si>
  <si>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</si>
  <si>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</si>
  <si>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</si>
  <si>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</si>
  <si>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</si>
  <si>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</si>
  <si>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</si>
  <si>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</si>
  <si>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</si>
  <si>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</si>
  <si>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</si>
  <si>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</si>
  <si>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</si>
  <si>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</si>
  <si>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</si>
  <si>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</si>
  <si>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</si>
  <si>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</si>
  <si>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</si>
  <si>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</si>
  <si>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</si>
  <si>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</si>
  <si>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</si>
  <si>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</si>
  <si>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</si>
  <si>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</si>
  <si>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</si>
  <si>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</si>
  <si>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</si>
  <si>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</si>
  <si>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</si>
  <si>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</si>
  <si>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</si>
  <si>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</si>
  <si>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</si>
  <si>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</si>
  <si>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</si>
  <si>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</si>
  <si>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</si>
  <si>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</si>
  <si>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</si>
  <si>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</si>
  <si>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</si>
  <si>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</si>
  <si>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</si>
  <si>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</si>
  <si>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</si>
  <si>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</si>
  <si>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</si>
  <si>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</si>
  <si>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</si>
  <si>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</si>
  <si>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</si>
  <si>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</si>
  <si>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</si>
  <si>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</si>
  <si>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trust:  audit, and contribution by voters from fund balance</t>
  </si>
  <si>
    <t>12/10</t>
  </si>
  <si>
    <t>1/21</t>
  </si>
  <si>
    <t>1/11</t>
  </si>
  <si>
    <t>1/32</t>
  </si>
  <si>
    <t>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</si>
</sst>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295</v>
      </c>
      <c r="C2" s="21">
        <v>295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831815.45+776855.71+24606.65</f>
        <v>1633277.8099999998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1384658.93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276300+133936.24</f>
        <v>410236.24</v>
      </c>
      <c r="G12" s="18"/>
      <c r="H12" s="18">
        <v>4049.31</v>
      </c>
      <c r="I12" s="18">
        <v>85685.59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16430.43</v>
      </c>
      <c r="G13" s="18">
        <v>19804.84</v>
      </c>
      <c r="H13" s="18">
        <f>293485.3</f>
        <v>293485.3</v>
      </c>
      <c r="I13" s="18"/>
      <c r="J13" s="67">
        <f>SUM(I442)</f>
        <v>3373203.89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15718.74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5155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19857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3464460.4099999997</v>
      </c>
      <c r="G19" s="41">
        <f>SUM(G9:G18)</f>
        <v>40678.58</v>
      </c>
      <c r="H19" s="41">
        <f>SUM(H9:H18)</f>
        <v>297534.61</v>
      </c>
      <c r="I19" s="41">
        <f>SUM(I9:I18)</f>
        <v>85685.59</v>
      </c>
      <c r="J19" s="41">
        <f>SUM(J9:J18)</f>
        <v>3373203.89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21974.14</v>
      </c>
      <c r="H22" s="18">
        <v>293485.3</v>
      </c>
      <c r="I22" s="18"/>
      <c r="J22" s="67">
        <f>SUM(I448)</f>
        <v>276300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-577.88+0.03-994.06+0-0.01</f>
        <v>-1571.9199999999998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13549.44</v>
      </c>
      <c r="H30" s="18">
        <v>4049.31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-1571.9199999999998</v>
      </c>
      <c r="G32" s="41">
        <f>SUM(G22:G31)</f>
        <v>35523.58</v>
      </c>
      <c r="H32" s="41">
        <f>SUM(H22:H31)</f>
        <v>297534.61</v>
      </c>
      <c r="I32" s="41">
        <f>SUM(I22:I31)</f>
        <v>0</v>
      </c>
      <c r="J32" s="41">
        <f>SUM(J22:J31)</f>
        <v>276300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5155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19857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85685.59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687183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3096903.89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435429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3466032.33-1322439-20030</f>
        <v>2123563.33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3466032.33</v>
      </c>
      <c r="G51" s="41">
        <f>SUM(G35:G50)</f>
        <v>5155</v>
      </c>
      <c r="H51" s="41">
        <f>SUM(H35:H50)</f>
        <v>0</v>
      </c>
      <c r="I51" s="41">
        <f>SUM(I35:I50)</f>
        <v>85685.59</v>
      </c>
      <c r="J51" s="41">
        <f>SUM(J35:J50)</f>
        <v>3096903.89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3464460.41</v>
      </c>
      <c r="G52" s="41">
        <f>G51+G32</f>
        <v>40678.58</v>
      </c>
      <c r="H52" s="41">
        <f>H51+H32</f>
        <v>297534.61</v>
      </c>
      <c r="I52" s="41">
        <f>I51+I32</f>
        <v>85685.59</v>
      </c>
      <c r="J52" s="41">
        <f>J51+J32</f>
        <v>3373203.89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22928945.550000001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5664.75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22934610.300000001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8267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800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4354703.1900000004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28850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28447.24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4421067.4300000006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969.75</v>
      </c>
      <c r="G96" s="18"/>
      <c r="H96" s="18"/>
      <c r="I96" s="18"/>
      <c r="J96" s="18">
        <f>15890.9-2461.45</f>
        <v>13429.45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120361+174792+10684+23342+13678+2006+0.8</f>
        <v>344863.8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7035.18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11086.5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86803.6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835560.32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854651.75</v>
      </c>
      <c r="G111" s="41">
        <f>SUM(G96:G110)</f>
        <v>344863.8</v>
      </c>
      <c r="H111" s="41">
        <f>SUM(H96:H110)</f>
        <v>86803.6</v>
      </c>
      <c r="I111" s="41">
        <f>SUM(I96:I110)</f>
        <v>0</v>
      </c>
      <c r="J111" s="41">
        <f>SUM(J96:J110)</f>
        <v>13429.45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28210329.48</v>
      </c>
      <c r="G112" s="41">
        <f>G60+G111</f>
        <v>344863.8</v>
      </c>
      <c r="H112" s="41">
        <f>H60+H79+H94+H111</f>
        <v>86803.6</v>
      </c>
      <c r="I112" s="41">
        <f>I60+I111</f>
        <v>0</v>
      </c>
      <c r="J112" s="41">
        <f>J60+J111</f>
        <v>13429.45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1809045.72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f>4558377</f>
        <v>4558377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6367422.7199999997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643603.42000000004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518817.95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183390.62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5671.88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7626.28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>
        <f>829014.03-687062.2</f>
        <v>141951.83000000007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1351483.87</v>
      </c>
      <c r="G136" s="41">
        <f>SUM(G123:G135)</f>
        <v>7626.28</v>
      </c>
      <c r="H136" s="41">
        <f>SUM(H123:H135)</f>
        <v>141951.83000000007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7718906.5899999999</v>
      </c>
      <c r="G140" s="41">
        <f>G121+SUM(G136:G137)</f>
        <v>7626.28</v>
      </c>
      <c r="H140" s="41">
        <f>H121+SUM(H136:H139)</f>
        <v>141951.83000000007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28340.01+108171.54</f>
        <v>136511.54999999999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390.59+1416.94+7420.83+605.54+5204+56090.13+58190.21+6976.63</f>
        <v>136294.87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21730.48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33639.73+221664.03+14521.59</f>
        <v>269825.35000000003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379809.52+883.11</f>
        <v>380692.63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236488.2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11832.67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236488.2</v>
      </c>
      <c r="G162" s="41">
        <f>SUM(G150:G161)</f>
        <v>269825.35000000003</v>
      </c>
      <c r="H162" s="41">
        <f>SUM(H150:H161)</f>
        <v>687062.20000000007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236488.2</v>
      </c>
      <c r="G169" s="41">
        <f>G147+G162+SUM(G163:G168)</f>
        <v>269825.35000000003</v>
      </c>
      <c r="H169" s="41">
        <f>H147+H162+SUM(H163:H168)</f>
        <v>687062.20000000007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32127.67</v>
      </c>
      <c r="H179" s="18"/>
      <c r="I179" s="18"/>
      <c r="J179" s="18">
        <v>400000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32127.67</v>
      </c>
      <c r="H183" s="41">
        <f>SUM(H179:H182)</f>
        <v>0</v>
      </c>
      <c r="I183" s="41">
        <f>SUM(I179:I182)</f>
        <v>0</v>
      </c>
      <c r="J183" s="41">
        <f>SUM(J179:J182)</f>
        <v>400000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1072451.44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1072451.44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1072451.44</v>
      </c>
      <c r="G192" s="41">
        <f>G183+SUM(G188:G191)</f>
        <v>32127.67</v>
      </c>
      <c r="H192" s="41">
        <f>+H183+SUM(H188:H191)</f>
        <v>0</v>
      </c>
      <c r="I192" s="41">
        <f>I177+I183+SUM(I188:I191)</f>
        <v>0</v>
      </c>
      <c r="J192" s="41">
        <f>J183</f>
        <v>400000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37238175.710000001</v>
      </c>
      <c r="G193" s="47">
        <f>G112+G140+G169+G192</f>
        <v>654443.10000000009</v>
      </c>
      <c r="H193" s="47">
        <f>H112+H140+H169+H192</f>
        <v>915817.63000000012</v>
      </c>
      <c r="I193" s="47">
        <f>I112+I140+I169+I192</f>
        <v>0</v>
      </c>
      <c r="J193" s="47">
        <f>J112+J140+J192</f>
        <v>413429.45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3085610.78+775694.72</f>
        <v>3861305.5</v>
      </c>
      <c r="G197" s="18">
        <v>2033735.2</v>
      </c>
      <c r="H197" s="18">
        <v>10873.42</v>
      </c>
      <c r="I197" s="18">
        <v>150202</v>
      </c>
      <c r="J197" s="18">
        <v>18994.68</v>
      </c>
      <c r="K197" s="18">
        <v>12192</v>
      </c>
      <c r="L197" s="19">
        <f>SUM(F197:K197)</f>
        <v>6087302.7999999998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1409074.29</v>
      </c>
      <c r="G198" s="18">
        <v>751527.78</v>
      </c>
      <c r="H198" s="18">
        <v>93593.7</v>
      </c>
      <c r="I198" s="18">
        <v>11258.82</v>
      </c>
      <c r="J198" s="18">
        <v>6838.46</v>
      </c>
      <c r="K198" s="18">
        <v>1011.95</v>
      </c>
      <c r="L198" s="19">
        <f>SUM(F198:K198)</f>
        <v>2273305.0000000005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27116.19</v>
      </c>
      <c r="G200" s="18">
        <v>2159.31</v>
      </c>
      <c r="H200" s="18"/>
      <c r="I200" s="18"/>
      <c r="J200" s="18"/>
      <c r="K200" s="18"/>
      <c r="L200" s="19">
        <f>SUM(F200:K200)</f>
        <v>29275.5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130549.21+147061.8</f>
        <v>277611.01</v>
      </c>
      <c r="G202" s="18">
        <f>73460.09+57089.43</f>
        <v>130549.51999999999</v>
      </c>
      <c r="H202" s="18">
        <f>11637.08+441.68</f>
        <v>12078.76</v>
      </c>
      <c r="I202" s="18">
        <f>3094.87+1183.13</f>
        <v>4278</v>
      </c>
      <c r="J202" s="18">
        <f>248.35+1623.63</f>
        <v>1871.98</v>
      </c>
      <c r="K202" s="18">
        <v>0</v>
      </c>
      <c r="L202" s="19">
        <f t="shared" ref="L202:L208" si="0">SUM(F202:K202)</f>
        <v>426389.27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29454.4+18937.69+182615.22+61878.13</f>
        <v>292885.44</v>
      </c>
      <c r="G203" s="18">
        <f>15044.66+9469.51+96087.31+19804.3</f>
        <v>140405.78</v>
      </c>
      <c r="H203" s="18">
        <f>2850+52953.81+121626.37</f>
        <v>177430.18</v>
      </c>
      <c r="I203" s="18">
        <f>35154.07+28481.77</f>
        <v>63635.839999999997</v>
      </c>
      <c r="J203" s="18">
        <f>5706.87+20778.59</f>
        <v>26485.46</v>
      </c>
      <c r="K203" s="18">
        <v>0</v>
      </c>
      <c r="L203" s="19">
        <f t="shared" si="0"/>
        <v>700842.69999999984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202754.39+16127.09+2275.06</f>
        <v>221156.54</v>
      </c>
      <c r="G204" s="18">
        <f>29.98+106846.71+11460.62</f>
        <v>118337.31</v>
      </c>
      <c r="H204" s="18">
        <f>57687.16+65645.74+4462.2</f>
        <v>127795.1</v>
      </c>
      <c r="I204" s="18">
        <f>1296.68+29360.76+1414.34</f>
        <v>32071.78</v>
      </c>
      <c r="J204" s="18">
        <v>1522.32</v>
      </c>
      <c r="K204" s="18">
        <f>2691.81+11260.62+8.74</f>
        <v>13961.17</v>
      </c>
      <c r="L204" s="19">
        <f t="shared" si="0"/>
        <v>514844.22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319325.87</v>
      </c>
      <c r="G205" s="18">
        <v>179037.33</v>
      </c>
      <c r="H205" s="18">
        <v>51258.39</v>
      </c>
      <c r="I205" s="18">
        <v>4846.5600000000004</v>
      </c>
      <c r="J205" s="18">
        <v>995</v>
      </c>
      <c r="K205" s="18">
        <v>1622.25</v>
      </c>
      <c r="L205" s="19">
        <f t="shared" si="0"/>
        <v>557085.4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336449.57</v>
      </c>
      <c r="G207" s="18">
        <v>186073.57</v>
      </c>
      <c r="H207" s="18">
        <v>181413.74</v>
      </c>
      <c r="I207" s="18">
        <v>231232.96</v>
      </c>
      <c r="J207" s="18">
        <v>12119.6</v>
      </c>
      <c r="K207" s="18">
        <v>456.45</v>
      </c>
      <c r="L207" s="19">
        <f t="shared" si="0"/>
        <v>947745.8899999999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21497.56+90174.53+26719.88+6326.58+4474.28+12992.89+4953.19</f>
        <v>167138.90999999997</v>
      </c>
      <c r="G208" s="18">
        <f>18869.68+8725.66+2080.94+698.43</f>
        <v>30374.71</v>
      </c>
      <c r="H208" s="18">
        <f>47793.4+23373.37+2235</f>
        <v>73401.77</v>
      </c>
      <c r="I208" s="18">
        <f>9118.81+26541.46</f>
        <v>35660.269999999997</v>
      </c>
      <c r="J208" s="18"/>
      <c r="K208" s="18">
        <f>272.11</f>
        <v>272.11</v>
      </c>
      <c r="L208" s="19">
        <f t="shared" si="0"/>
        <v>306847.76999999996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6912063.3200000012</v>
      </c>
      <c r="G211" s="41">
        <f t="shared" si="1"/>
        <v>3572200.51</v>
      </c>
      <c r="H211" s="41">
        <f t="shared" si="1"/>
        <v>727845.06</v>
      </c>
      <c r="I211" s="41">
        <f t="shared" si="1"/>
        <v>533186.23</v>
      </c>
      <c r="J211" s="41">
        <f t="shared" si="1"/>
        <v>68827.5</v>
      </c>
      <c r="K211" s="41">
        <f t="shared" si="1"/>
        <v>29515.930000000004</v>
      </c>
      <c r="L211" s="41">
        <f t="shared" si="1"/>
        <v>11843638.550000001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2605132.91+106368.89</f>
        <v>2711501.8000000003</v>
      </c>
      <c r="G215" s="18">
        <v>1295208.7</v>
      </c>
      <c r="H215" s="18">
        <v>8164.7</v>
      </c>
      <c r="I215" s="18">
        <v>88857.72</v>
      </c>
      <c r="J215" s="18">
        <v>1773.86</v>
      </c>
      <c r="K215" s="18">
        <v>12498.57</v>
      </c>
      <c r="L215" s="19">
        <f>SUM(F215:K215)</f>
        <v>4118005.35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1029914.3</v>
      </c>
      <c r="G216" s="18">
        <v>688359.28</v>
      </c>
      <c r="H216" s="18">
        <v>531296.42000000004</v>
      </c>
      <c r="I216" s="18">
        <v>14241.73</v>
      </c>
      <c r="J216" s="18">
        <v>2233.16</v>
      </c>
      <c r="K216" s="18">
        <v>745.61</v>
      </c>
      <c r="L216" s="19">
        <f>SUM(F216:K216)</f>
        <v>2266790.5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36661.28+14005.13</f>
        <v>50666.409999999996</v>
      </c>
      <c r="G218" s="18">
        <f>4947.5+2834.74</f>
        <v>7782.24</v>
      </c>
      <c r="H218" s="18">
        <f>14239.37</f>
        <v>14239.37</v>
      </c>
      <c r="I218" s="18">
        <f>15007.12</f>
        <v>15007.12</v>
      </c>
      <c r="J218" s="18">
        <f>3144.07</f>
        <v>3144.07</v>
      </c>
      <c r="K218" s="18">
        <f>630</f>
        <v>630</v>
      </c>
      <c r="L218" s="19">
        <f>SUM(F218:K218)</f>
        <v>91469.209999999992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140087.55+78352.44</f>
        <v>218439.99</v>
      </c>
      <c r="G220" s="18">
        <f>36897.1+44521.8</f>
        <v>81418.899999999994</v>
      </c>
      <c r="H220" s="18">
        <f>59944.75+325.43</f>
        <v>60270.18</v>
      </c>
      <c r="I220" s="18">
        <f>2374.94+564.96</f>
        <v>2939.9</v>
      </c>
      <c r="J220" s="18">
        <v>0</v>
      </c>
      <c r="K220" s="18">
        <f>129</f>
        <v>129</v>
      </c>
      <c r="L220" s="19">
        <f t="shared" ref="L220:L226" si="2">SUM(F220:K220)</f>
        <v>363197.97000000003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21702.01+2914.77+13953.3+128603.79+45444.47</f>
        <v>212618.34</v>
      </c>
      <c r="G221" s="18">
        <f>11084.92+6977.14+57404.42+14591.82</f>
        <v>90058.299999999988</v>
      </c>
      <c r="H221" s="18">
        <f>1538+36094.24+89614.37</f>
        <v>127246.60999999999</v>
      </c>
      <c r="I221" s="18">
        <f>13046.59+22849.43</f>
        <v>35896.020000000004</v>
      </c>
      <c r="J221" s="18">
        <f>669.27+25133.23</f>
        <v>25802.5</v>
      </c>
      <c r="K221" s="18">
        <v>0</v>
      </c>
      <c r="L221" s="19">
        <f t="shared" si="2"/>
        <v>491621.77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149389.52+11882.44+1676.26</f>
        <v>162948.22</v>
      </c>
      <c r="G222" s="18">
        <f>141.53+78724.7+8444.19</f>
        <v>87310.42</v>
      </c>
      <c r="H222" s="18">
        <f>42503.92+48367.81+3287.75</f>
        <v>94159.48</v>
      </c>
      <c r="I222" s="18">
        <f>955.39+21633.02+1042.09</f>
        <v>23630.5</v>
      </c>
      <c r="J222" s="18">
        <v>1121.6500000000001</v>
      </c>
      <c r="K222" s="18">
        <f>1983.33+8296.83+6.44</f>
        <v>10286.6</v>
      </c>
      <c r="L222" s="19">
        <f t="shared" si="2"/>
        <v>379456.87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289179.18</v>
      </c>
      <c r="G223" s="18">
        <v>161256.45000000001</v>
      </c>
      <c r="H223" s="18">
        <v>55759.69</v>
      </c>
      <c r="I223" s="18">
        <v>1430.09</v>
      </c>
      <c r="J223" s="18">
        <v>245.95</v>
      </c>
      <c r="K223" s="18">
        <v>1269</v>
      </c>
      <c r="L223" s="19">
        <f t="shared" si="2"/>
        <v>509140.36000000004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305452.56</v>
      </c>
      <c r="G225" s="18">
        <v>142353.68</v>
      </c>
      <c r="H225" s="18">
        <v>154078.23000000001</v>
      </c>
      <c r="I225" s="18">
        <v>184390.54</v>
      </c>
      <c r="J225" s="18">
        <v>10222.61</v>
      </c>
      <c r="K225" s="18">
        <v>336.31</v>
      </c>
      <c r="L225" s="19">
        <f t="shared" si="2"/>
        <v>796833.93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15839.41+66440.63+19687.22+3752.33+5387.24+3296.65+2327.68+3649.51</f>
        <v>120380.67</v>
      </c>
      <c r="G226" s="18">
        <f>13903.19+6429.02+1533.24+514.6+2846.31+371.31</f>
        <v>25597.670000000002</v>
      </c>
      <c r="H226" s="18">
        <f>3040.07+35214.2+17221.51+3580+4775</f>
        <v>63830.78</v>
      </c>
      <c r="I226" s="18">
        <f>19535.87+6718.74+17.5</f>
        <v>26272.11</v>
      </c>
      <c r="J226" s="18"/>
      <c r="K226" s="18">
        <f>200.49</f>
        <v>200.49</v>
      </c>
      <c r="L226" s="19">
        <f t="shared" si="2"/>
        <v>236281.71999999997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5101101.47</v>
      </c>
      <c r="G229" s="41">
        <f>SUM(G215:G228)</f>
        <v>2579345.64</v>
      </c>
      <c r="H229" s="41">
        <f>SUM(H215:H228)</f>
        <v>1109045.46</v>
      </c>
      <c r="I229" s="41">
        <f>SUM(I215:I228)</f>
        <v>392665.73</v>
      </c>
      <c r="J229" s="41">
        <f>SUM(J215:J228)</f>
        <v>44543.799999999996</v>
      </c>
      <c r="K229" s="41">
        <f t="shared" si="3"/>
        <v>26095.58</v>
      </c>
      <c r="L229" s="41">
        <f t="shared" si="3"/>
        <v>9252797.6799999997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3223244.62+178546.59</f>
        <v>3401791.21</v>
      </c>
      <c r="G233" s="18">
        <v>1575996.53</v>
      </c>
      <c r="H233" s="18">
        <v>16596.29</v>
      </c>
      <c r="I233" s="18">
        <v>210949.13</v>
      </c>
      <c r="J233" s="18">
        <v>96558.21</v>
      </c>
      <c r="K233" s="18">
        <v>5673.66</v>
      </c>
      <c r="L233" s="19">
        <f>SUM(F233:K233)</f>
        <v>5307565.03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1005513.91</v>
      </c>
      <c r="G234" s="18">
        <v>464757.65</v>
      </c>
      <c r="H234" s="18">
        <v>850610.9</v>
      </c>
      <c r="I234" s="18">
        <v>16053.69</v>
      </c>
      <c r="J234" s="18">
        <v>3739.14</v>
      </c>
      <c r="K234" s="18">
        <v>1138.6600000000001</v>
      </c>
      <c r="L234" s="19">
        <f>SUM(F234:K234)</f>
        <v>2341813.9500000002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481276.14</v>
      </c>
      <c r="I235" s="18"/>
      <c r="J235" s="18"/>
      <c r="K235" s="18"/>
      <c r="L235" s="19">
        <f>SUM(F235:K235)</f>
        <v>481276.14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266342.26+21901.72</f>
        <v>288243.98</v>
      </c>
      <c r="G236" s="18">
        <f>43005.84+4395.17</f>
        <v>47401.009999999995</v>
      </c>
      <c r="H236" s="18">
        <f>102172.52</f>
        <v>102172.52</v>
      </c>
      <c r="I236" s="18">
        <f>44864.79</f>
        <v>44864.79</v>
      </c>
      <c r="J236" s="18">
        <f>7751.69</f>
        <v>7751.69</v>
      </c>
      <c r="K236" s="18">
        <f>19510.97</f>
        <v>19510.97</v>
      </c>
      <c r="L236" s="19">
        <f>SUM(F236:K236)</f>
        <v>509944.95999999996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360256.12+80946.11</f>
        <v>441202.23</v>
      </c>
      <c r="G238" s="18">
        <f>29650.3+202968.72</f>
        <v>232619.02</v>
      </c>
      <c r="H238" s="18">
        <f>4033.78+496.99</f>
        <v>4530.7700000000004</v>
      </c>
      <c r="I238" s="18">
        <f>6291.13+5355.23</f>
        <v>11646.36</v>
      </c>
      <c r="J238" s="18">
        <v>0</v>
      </c>
      <c r="K238" s="18">
        <f>475+100</f>
        <v>575</v>
      </c>
      <c r="L238" s="19">
        <f t="shared" ref="L238:L244" si="4">SUM(F238:K238)</f>
        <v>690573.38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33142.59+94111.52+21309.01+76771+69401.26</f>
        <v>294735.38</v>
      </c>
      <c r="G239" s="18">
        <f>16928.51+10655.25+31272.32+22284.13</f>
        <v>81140.210000000006</v>
      </c>
      <c r="H239" s="18">
        <f>635.92+51407.95+136856.04+255.55</f>
        <v>189155.46</v>
      </c>
      <c r="I239" s="18">
        <f>21154.3+32308.62+3754.91</f>
        <v>57217.83</v>
      </c>
      <c r="J239" s="18">
        <f>495.54+45744.42</f>
        <v>46239.96</v>
      </c>
      <c r="K239" s="18">
        <v>0</v>
      </c>
      <c r="L239" s="19">
        <f t="shared" si="4"/>
        <v>668488.84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2559.93+228142.65+18146.47</f>
        <v>248849.05</v>
      </c>
      <c r="G240" s="18">
        <f>376.82+120225.71+12895.68</f>
        <v>133498.21000000002</v>
      </c>
      <c r="H240" s="18">
        <f>64910.56+73865.69+5020.94</f>
        <v>143797.19</v>
      </c>
      <c r="I240" s="18">
        <f>1459.05+33037.22+1591.44</f>
        <v>36087.710000000006</v>
      </c>
      <c r="J240" s="18">
        <v>1712.95</v>
      </c>
      <c r="K240" s="18">
        <f>3028.87+12670.64+9.83</f>
        <v>15709.339999999998</v>
      </c>
      <c r="L240" s="19">
        <f t="shared" si="4"/>
        <v>579654.44999999984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340350.04</v>
      </c>
      <c r="G241" s="18">
        <v>154507.67000000001</v>
      </c>
      <c r="H241" s="18">
        <v>53701.66</v>
      </c>
      <c r="I241" s="18">
        <v>20162.84</v>
      </c>
      <c r="J241" s="18">
        <v>6386.14</v>
      </c>
      <c r="K241" s="18">
        <v>6284.71</v>
      </c>
      <c r="L241" s="19">
        <f t="shared" si="4"/>
        <v>581393.05999999994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333611.3</v>
      </c>
      <c r="G243" s="18">
        <v>185598.33</v>
      </c>
      <c r="H243" s="18">
        <v>292248.03999999998</v>
      </c>
      <c r="I243" s="18">
        <v>297942.39</v>
      </c>
      <c r="J243" s="18">
        <v>15551.35</v>
      </c>
      <c r="K243" s="18">
        <v>513.6</v>
      </c>
      <c r="L243" s="19">
        <f t="shared" si="4"/>
        <v>1125465.0100000002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24189.42+101465.9+30065.66+5034.54+35250.44+5998.42-10911.42+5573.42</f>
        <v>196666.38</v>
      </c>
      <c r="G244" s="18">
        <f>21232.48+9818.19+2341.51+785.88+436.18</f>
        <v>34614.239999999998</v>
      </c>
      <c r="H244" s="18">
        <f>4642.69+53777.94+26300.11+17560+48624.1+6433</f>
        <v>157337.84</v>
      </c>
      <c r="I244" s="18">
        <f>29834.52+10260.64+388.89+125.02</f>
        <v>40609.07</v>
      </c>
      <c r="J244" s="18"/>
      <c r="K244" s="18">
        <f>306.19</f>
        <v>306.19</v>
      </c>
      <c r="L244" s="19">
        <f t="shared" si="4"/>
        <v>429533.72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6550963.4799999995</v>
      </c>
      <c r="G247" s="41">
        <f t="shared" si="5"/>
        <v>2910132.87</v>
      </c>
      <c r="H247" s="41">
        <f t="shared" si="5"/>
        <v>2291426.8099999996</v>
      </c>
      <c r="I247" s="41">
        <f t="shared" si="5"/>
        <v>735533.80999999994</v>
      </c>
      <c r="J247" s="41">
        <f t="shared" si="5"/>
        <v>177939.44000000003</v>
      </c>
      <c r="K247" s="41">
        <f t="shared" si="5"/>
        <v>49712.13</v>
      </c>
      <c r="L247" s="41">
        <f t="shared" si="5"/>
        <v>12715708.540000001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42045.13</v>
      </c>
      <c r="G251" s="18">
        <v>30683.58</v>
      </c>
      <c r="H251" s="18">
        <v>2230.2800000000002</v>
      </c>
      <c r="I251" s="18">
        <v>4680.7299999999996</v>
      </c>
      <c r="J251" s="18">
        <v>2056.6999999999998</v>
      </c>
      <c r="K251" s="18">
        <f>159+2373.81</f>
        <v>2532.81</v>
      </c>
      <c r="L251" s="19">
        <f t="shared" si="6"/>
        <v>84229.229999999981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42045.13</v>
      </c>
      <c r="G256" s="41">
        <f t="shared" si="7"/>
        <v>30683.58</v>
      </c>
      <c r="H256" s="41">
        <f t="shared" si="7"/>
        <v>2230.2800000000002</v>
      </c>
      <c r="I256" s="41">
        <f t="shared" si="7"/>
        <v>4680.7299999999996</v>
      </c>
      <c r="J256" s="41">
        <f t="shared" si="7"/>
        <v>2056.6999999999998</v>
      </c>
      <c r="K256" s="41">
        <f t="shared" si="7"/>
        <v>2532.81</v>
      </c>
      <c r="L256" s="41">
        <f>SUM(F256:K256)</f>
        <v>84229.229999999981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18606173.399999999</v>
      </c>
      <c r="G257" s="41">
        <f t="shared" si="8"/>
        <v>9092362.5999999996</v>
      </c>
      <c r="H257" s="41">
        <f t="shared" si="8"/>
        <v>4130547.6099999994</v>
      </c>
      <c r="I257" s="41">
        <f t="shared" si="8"/>
        <v>1666066.5</v>
      </c>
      <c r="J257" s="41">
        <f t="shared" si="8"/>
        <v>293367.44</v>
      </c>
      <c r="K257" s="41">
        <f t="shared" si="8"/>
        <v>107856.45000000001</v>
      </c>
      <c r="L257" s="41">
        <f t="shared" si="8"/>
        <v>33896374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1320000</v>
      </c>
      <c r="L260" s="19">
        <f>SUM(F260:K260)</f>
        <v>1320000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871100</v>
      </c>
      <c r="L261" s="19">
        <f>SUM(F261:K261)</f>
        <v>871100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32127.67</v>
      </c>
      <c r="L263" s="19">
        <f>SUM(F263:K263)</f>
        <v>32127.67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400000</v>
      </c>
      <c r="L266" s="19">
        <f t="shared" si="9"/>
        <v>400000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2623227.67</v>
      </c>
      <c r="L270" s="41">
        <f t="shared" si="9"/>
        <v>2623227.67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18606173.399999999</v>
      </c>
      <c r="G271" s="42">
        <f t="shared" si="11"/>
        <v>9092362.5999999996</v>
      </c>
      <c r="H271" s="42">
        <f t="shared" si="11"/>
        <v>4130547.6099999994</v>
      </c>
      <c r="I271" s="42">
        <f t="shared" si="11"/>
        <v>1666066.5</v>
      </c>
      <c r="J271" s="42">
        <f t="shared" si="11"/>
        <v>293367.44</v>
      </c>
      <c r="K271" s="42">
        <f t="shared" si="11"/>
        <v>2731084.12</v>
      </c>
      <c r="L271" s="42">
        <f t="shared" si="11"/>
        <v>36519601.670000002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1463.14+151754.17+17929.94+459.9+315+562.5-3.38</f>
        <v>172481.27000000002</v>
      </c>
      <c r="G276" s="18">
        <f>334.18+13018.29+1773.48+35.18+24.1+43.04</f>
        <v>15228.270000000002</v>
      </c>
      <c r="H276" s="18">
        <f>5306.3+4270.09</f>
        <v>9576.39</v>
      </c>
      <c r="I276" s="18">
        <f>5449.38+16186.59+8940.78+571.92</f>
        <v>31148.67</v>
      </c>
      <c r="J276" s="18">
        <f>970.54</f>
        <v>970.54</v>
      </c>
      <c r="K276" s="18"/>
      <c r="L276" s="19">
        <f>SUM(F276:K276)</f>
        <v>229405.13999999998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79635.47+634.57</f>
        <v>80270.040000000008</v>
      </c>
      <c r="G277" s="18">
        <f>2455.15+13348.1+48.54</f>
        <v>15851.79</v>
      </c>
      <c r="H277" s="18">
        <f>332+47880.73+200</f>
        <v>48412.73</v>
      </c>
      <c r="I277" s="18">
        <f>103.64+2664.87</f>
        <v>2768.5099999999998</v>
      </c>
      <c r="J277" s="18">
        <f>5147.4+4120</f>
        <v>9267.4</v>
      </c>
      <c r="K277" s="18"/>
      <c r="L277" s="19">
        <f>SUM(F277:K277)</f>
        <v>156570.47000000003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11145</f>
        <v>11145</v>
      </c>
      <c r="G279" s="18"/>
      <c r="H279" s="18"/>
      <c r="I279" s="18">
        <f>878.71</f>
        <v>878.71</v>
      </c>
      <c r="J279" s="18"/>
      <c r="K279" s="18"/>
      <c r="L279" s="19">
        <f>SUM(F279:K279)</f>
        <v>12023.71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215.06</f>
        <v>215.06</v>
      </c>
      <c r="I281" s="18"/>
      <c r="J281" s="18"/>
      <c r="K281" s="18"/>
      <c r="L281" s="19">
        <f t="shared" ref="L281:L287" si="12">SUM(F281:K281)</f>
        <v>215.06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12840.59</f>
        <v>12840.59</v>
      </c>
      <c r="G282" s="18">
        <f>2846.29</f>
        <v>2846.29</v>
      </c>
      <c r="H282" s="18">
        <f>11275.92+1170.14+1140.64+8882.13+931.93+4485+18124.22+4645.01+2437.66</f>
        <v>53092.649999999994</v>
      </c>
      <c r="I282" s="18">
        <f>152.68+512+136.47+719+1473.89</f>
        <v>2994.04</v>
      </c>
      <c r="J282" s="18">
        <f>2960.88</f>
        <v>2960.88</v>
      </c>
      <c r="K282" s="18"/>
      <c r="L282" s="19">
        <f t="shared" si="12"/>
        <v>74734.45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f>1782.31</f>
        <v>1782.31</v>
      </c>
      <c r="I283" s="18"/>
      <c r="J283" s="18"/>
      <c r="K283" s="18"/>
      <c r="L283" s="19">
        <f t="shared" si="12"/>
        <v>1782.31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f>606.4+227.4</f>
        <v>833.8</v>
      </c>
      <c r="G287" s="18">
        <f>49.07+16.97</f>
        <v>66.039999999999992</v>
      </c>
      <c r="H287" s="18"/>
      <c r="I287" s="18">
        <f>320.68</f>
        <v>320.68</v>
      </c>
      <c r="J287" s="18"/>
      <c r="K287" s="18"/>
      <c r="L287" s="19">
        <f t="shared" si="12"/>
        <v>1220.52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277570.70000000007</v>
      </c>
      <c r="G290" s="42">
        <f t="shared" si="13"/>
        <v>33992.390000000007</v>
      </c>
      <c r="H290" s="42">
        <f t="shared" si="13"/>
        <v>113079.13999999998</v>
      </c>
      <c r="I290" s="42">
        <f t="shared" si="13"/>
        <v>38110.61</v>
      </c>
      <c r="J290" s="42">
        <f t="shared" si="13"/>
        <v>13198.82</v>
      </c>
      <c r="K290" s="42">
        <f t="shared" si="13"/>
        <v>0</v>
      </c>
      <c r="L290" s="41">
        <f t="shared" si="13"/>
        <v>475951.66000000003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338.56</f>
        <v>338.56</v>
      </c>
      <c r="G295" s="18">
        <f>25.92</f>
        <v>25.92</v>
      </c>
      <c r="H295" s="18"/>
      <c r="I295" s="18">
        <f>1038.14+421.39</f>
        <v>1459.5300000000002</v>
      </c>
      <c r="J295" s="18">
        <f>715.09</f>
        <v>715.09</v>
      </c>
      <c r="K295" s="18"/>
      <c r="L295" s="19">
        <f>SUM(F295:K295)</f>
        <v>2539.1000000000004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57680.39</f>
        <v>57680.39</v>
      </c>
      <c r="G296" s="18">
        <f>10362.08</f>
        <v>10362.08</v>
      </c>
      <c r="H296" s="18">
        <f>35278.54</f>
        <v>35278.54</v>
      </c>
      <c r="I296" s="18">
        <f>1963.48</f>
        <v>1963.48</v>
      </c>
      <c r="J296" s="18">
        <f>3035.61</f>
        <v>3035.61</v>
      </c>
      <c r="K296" s="18"/>
      <c r="L296" s="19">
        <f>SUM(F296:K296)</f>
        <v>108320.1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>
        <f>2250</f>
        <v>2250</v>
      </c>
      <c r="I298" s="18">
        <f>340.5</f>
        <v>340.5</v>
      </c>
      <c r="J298" s="18"/>
      <c r="K298" s="18"/>
      <c r="L298" s="19">
        <f>SUM(F298:K298)</f>
        <v>2590.5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f>158.45</f>
        <v>158.44999999999999</v>
      </c>
      <c r="I300" s="18"/>
      <c r="J300" s="18"/>
      <c r="K300" s="18"/>
      <c r="L300" s="19">
        <f t="shared" ref="L300:L306" si="14">SUM(F300:K300)</f>
        <v>158.44999999999999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9460.95</f>
        <v>9460.9500000000007</v>
      </c>
      <c r="G301" s="18">
        <f>2097.14</f>
        <v>2097.14</v>
      </c>
      <c r="H301" s="18">
        <f>840.42+6544.35+686.64+13353.93+3422.44+1796.07</f>
        <v>26643.85</v>
      </c>
      <c r="I301" s="18">
        <f>325.84+377.24+100.55+1085.97</f>
        <v>1889.6</v>
      </c>
      <c r="J301" s="18">
        <f>2181.58</f>
        <v>2181.58</v>
      </c>
      <c r="K301" s="18"/>
      <c r="L301" s="19">
        <f t="shared" si="14"/>
        <v>42273.120000000003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>
        <f>1313.21</f>
        <v>1313.21</v>
      </c>
      <c r="I302" s="18"/>
      <c r="J302" s="18"/>
      <c r="K302" s="18"/>
      <c r="L302" s="19">
        <f t="shared" si="14"/>
        <v>1313.21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>
        <f>529.75</f>
        <v>529.75</v>
      </c>
      <c r="J303" s="18"/>
      <c r="K303" s="18"/>
      <c r="L303" s="19">
        <f t="shared" si="14"/>
        <v>529.75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67479.899999999994</v>
      </c>
      <c r="G309" s="42">
        <f t="shared" si="15"/>
        <v>12485.14</v>
      </c>
      <c r="H309" s="42">
        <f t="shared" si="15"/>
        <v>65644.05</v>
      </c>
      <c r="I309" s="42">
        <f t="shared" si="15"/>
        <v>6182.8600000000006</v>
      </c>
      <c r="J309" s="42">
        <f t="shared" si="15"/>
        <v>5932.2800000000007</v>
      </c>
      <c r="K309" s="42">
        <f t="shared" si="15"/>
        <v>0</v>
      </c>
      <c r="L309" s="41">
        <f t="shared" si="15"/>
        <v>157724.23000000001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667.5+517.49</f>
        <v>1184.99</v>
      </c>
      <c r="G314" s="18">
        <f>39.45+39.59</f>
        <v>79.040000000000006</v>
      </c>
      <c r="H314" s="18"/>
      <c r="I314" s="18">
        <f>1356.15+643.53</f>
        <v>1999.68</v>
      </c>
      <c r="J314" s="18">
        <f>1092.073</f>
        <v>1092.0730000000001</v>
      </c>
      <c r="K314" s="18"/>
      <c r="L314" s="19">
        <f>SUM(F314:K314)</f>
        <v>4355.7830000000004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30828.21</f>
        <v>30828.21</v>
      </c>
      <c r="G315" s="18">
        <f>4618.93</f>
        <v>4618.93</v>
      </c>
      <c r="H315" s="18">
        <f>53876.2</f>
        <v>53876.2</v>
      </c>
      <c r="I315" s="18">
        <f>2998.56</f>
        <v>2998.56</v>
      </c>
      <c r="J315" s="18">
        <f>4635.89</f>
        <v>4635.8900000000003</v>
      </c>
      <c r="K315" s="18"/>
      <c r="L315" s="19">
        <f>SUM(F315:K315)</f>
        <v>96957.79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>
        <f>28705.03</f>
        <v>28705.03</v>
      </c>
      <c r="J317" s="18"/>
      <c r="K317" s="18"/>
      <c r="L317" s="19">
        <f>SUM(F317:K317)</f>
        <v>28705.03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1198.24</f>
        <v>1198.24</v>
      </c>
      <c r="G319" s="18">
        <f>171.93</f>
        <v>171.93</v>
      </c>
      <c r="H319" s="18">
        <f>15588.99</f>
        <v>15588.99</v>
      </c>
      <c r="I319" s="18"/>
      <c r="J319" s="18"/>
      <c r="K319" s="18"/>
      <c r="L319" s="19">
        <f t="shared" ref="L319:L325" si="16">SUM(F319:K319)</f>
        <v>16959.16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14448.45</f>
        <v>14448.45</v>
      </c>
      <c r="G320" s="18">
        <f>3202.69</f>
        <v>3202.69</v>
      </c>
      <c r="H320" s="18">
        <f>1283.46+9994.32+1048.62+20393.67+5226.64+2742.9</f>
        <v>40689.61</v>
      </c>
      <c r="I320" s="18">
        <f>171.8+576.11+153.56+1658.45</f>
        <v>2559.92</v>
      </c>
      <c r="J320" s="18">
        <f>3331.63</f>
        <v>3331.63</v>
      </c>
      <c r="K320" s="18"/>
      <c r="L320" s="19">
        <f t="shared" si="16"/>
        <v>64232.299999999996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f>2005.48</f>
        <v>2005.48</v>
      </c>
      <c r="I321" s="18"/>
      <c r="J321" s="18"/>
      <c r="K321" s="18"/>
      <c r="L321" s="19">
        <f t="shared" si="16"/>
        <v>2005.48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f>800</f>
        <v>800</v>
      </c>
      <c r="I324" s="18"/>
      <c r="J324" s="18"/>
      <c r="K324" s="18"/>
      <c r="L324" s="19">
        <f t="shared" si="16"/>
        <v>800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47659.89</v>
      </c>
      <c r="G328" s="42">
        <f t="shared" si="17"/>
        <v>8072.59</v>
      </c>
      <c r="H328" s="42">
        <f t="shared" si="17"/>
        <v>112960.28</v>
      </c>
      <c r="I328" s="42">
        <f t="shared" si="17"/>
        <v>36263.189999999995</v>
      </c>
      <c r="J328" s="42">
        <f t="shared" si="17"/>
        <v>9059.5930000000008</v>
      </c>
      <c r="K328" s="42">
        <f t="shared" si="17"/>
        <v>0</v>
      </c>
      <c r="L328" s="41">
        <f t="shared" si="17"/>
        <v>214015.54299999998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42045.13</v>
      </c>
      <c r="G333" s="18">
        <v>30683.58</v>
      </c>
      <c r="H333" s="18">
        <v>2230.2800000000002</v>
      </c>
      <c r="I333" s="18">
        <v>4680.7299999999996</v>
      </c>
      <c r="J333" s="18">
        <v>2056.6999999999998</v>
      </c>
      <c r="K333" s="18">
        <f>159+2373.81</f>
        <v>2532.81</v>
      </c>
      <c r="L333" s="19">
        <f t="shared" si="18"/>
        <v>84229.229999999981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42045.13</v>
      </c>
      <c r="G337" s="41">
        <f t="shared" si="19"/>
        <v>30683.58</v>
      </c>
      <c r="H337" s="41">
        <f t="shared" si="19"/>
        <v>2230.2800000000002</v>
      </c>
      <c r="I337" s="41">
        <f t="shared" si="19"/>
        <v>4680.7299999999996</v>
      </c>
      <c r="J337" s="41">
        <f t="shared" si="19"/>
        <v>2056.6999999999998</v>
      </c>
      <c r="K337" s="41">
        <f t="shared" si="19"/>
        <v>2532.81</v>
      </c>
      <c r="L337" s="41">
        <f t="shared" si="18"/>
        <v>84229.229999999981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434755.62000000011</v>
      </c>
      <c r="G338" s="41">
        <f t="shared" si="20"/>
        <v>85233.700000000012</v>
      </c>
      <c r="H338" s="41">
        <f t="shared" si="20"/>
        <v>293913.75</v>
      </c>
      <c r="I338" s="41">
        <f t="shared" si="20"/>
        <v>85237.39</v>
      </c>
      <c r="J338" s="41">
        <f t="shared" si="20"/>
        <v>30247.393</v>
      </c>
      <c r="K338" s="41">
        <f t="shared" si="20"/>
        <v>2532.81</v>
      </c>
      <c r="L338" s="41">
        <f t="shared" si="20"/>
        <v>931920.66299999994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434755.62000000011</v>
      </c>
      <c r="G352" s="41">
        <f>G338</f>
        <v>85233.700000000012</v>
      </c>
      <c r="H352" s="41">
        <f>H338</f>
        <v>293913.75</v>
      </c>
      <c r="I352" s="41">
        <f>I338</f>
        <v>85237.39</v>
      </c>
      <c r="J352" s="41">
        <f>J338</f>
        <v>30247.393</v>
      </c>
      <c r="K352" s="47">
        <f>K338+K351</f>
        <v>2532.81</v>
      </c>
      <c r="L352" s="41">
        <f>L338+L351</f>
        <v>931920.66299999994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203200.14</v>
      </c>
      <c r="I358" s="18">
        <v>13093.9</v>
      </c>
      <c r="J358" s="18">
        <v>10569.75</v>
      </c>
      <c r="K358" s="18"/>
      <c r="L358" s="13">
        <f>SUM(F358:K358)</f>
        <v>226863.79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149717.95000000001</v>
      </c>
      <c r="I359" s="18">
        <v>9647.59</v>
      </c>
      <c r="J359" s="18">
        <v>7787.8</v>
      </c>
      <c r="K359" s="18"/>
      <c r="L359" s="19">
        <f>SUM(F359:K359)</f>
        <v>167153.34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228644.22</v>
      </c>
      <c r="I360" s="18">
        <v>14733.48</v>
      </c>
      <c r="J360" s="18">
        <v>11893.27</v>
      </c>
      <c r="K360" s="18"/>
      <c r="L360" s="19">
        <f>SUM(F360:K360)</f>
        <v>255270.97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581562.31000000006</v>
      </c>
      <c r="I362" s="47">
        <f t="shared" si="22"/>
        <v>37474.97</v>
      </c>
      <c r="J362" s="47">
        <f t="shared" si="22"/>
        <v>30250.82</v>
      </c>
      <c r="K362" s="47">
        <f t="shared" si="22"/>
        <v>0</v>
      </c>
      <c r="L362" s="47">
        <f t="shared" si="22"/>
        <v>649288.1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13093.9</v>
      </c>
      <c r="G368" s="63">
        <v>9647.59</v>
      </c>
      <c r="H368" s="63">
        <v>14733.48</v>
      </c>
      <c r="I368" s="56">
        <f>SUM(F368:H368)</f>
        <v>37474.97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13093.9</v>
      </c>
      <c r="G369" s="47">
        <f>SUM(G367:G368)</f>
        <v>9647.59</v>
      </c>
      <c r="H369" s="47">
        <f>SUM(H367:H368)</f>
        <v>14733.48</v>
      </c>
      <c r="I369" s="47">
        <f>SUM(I367:I368)</f>
        <v>37474.97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5873.88</v>
      </c>
      <c r="I376" s="18"/>
      <c r="J376" s="18"/>
      <c r="K376" s="18"/>
      <c r="L376" s="13">
        <f t="shared" si="23"/>
        <v>5873.88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5873.88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5873.88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4"/>
      <c r="H388" s="18">
        <v>13429.45</v>
      </c>
      <c r="I388" s="18"/>
      <c r="J388" s="24" t="s">
        <v>289</v>
      </c>
      <c r="K388" s="24" t="s">
        <v>289</v>
      </c>
      <c r="L388" s="56">
        <f t="shared" si="25"/>
        <v>13429.45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4"/>
      <c r="G389" s="18">
        <v>400000</v>
      </c>
      <c r="H389" s="18"/>
      <c r="I389" s="18"/>
      <c r="J389" s="24" t="s">
        <v>289</v>
      </c>
      <c r="K389" s="24" t="s">
        <v>289</v>
      </c>
      <c r="L389" s="56">
        <f>SUM(G389:K389)</f>
        <v>400000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400000</v>
      </c>
      <c r="H393" s="139">
        <f>SUM(H387:H392)</f>
        <v>13429.45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413429.45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400000</v>
      </c>
      <c r="H408" s="47">
        <f>H393+H401+H407</f>
        <v>13429.45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413429.45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>
        <v>484495.74</v>
      </c>
      <c r="K413" s="18"/>
      <c r="L413" s="56">
        <f t="shared" ref="L413:L418" si="27">SUM(F413:K413)</f>
        <v>484495.74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>
        <v>622202.35</v>
      </c>
      <c r="K415" s="18"/>
      <c r="L415" s="56">
        <f t="shared" si="27"/>
        <v>622202.35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1106698.0899999999</v>
      </c>
      <c r="K419" s="139">
        <f t="shared" si="28"/>
        <v>0</v>
      </c>
      <c r="L419" s="47">
        <f t="shared" si="28"/>
        <v>1106698.0899999999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1106698.0899999999</v>
      </c>
      <c r="K434" s="47">
        <f t="shared" si="32"/>
        <v>0</v>
      </c>
      <c r="L434" s="47">
        <f t="shared" si="32"/>
        <v>1106698.0899999999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f>3373203.89</f>
        <v>3373203.89</v>
      </c>
      <c r="G442" s="18"/>
      <c r="H442" s="18"/>
      <c r="I442" s="56">
        <f t="shared" si="33"/>
        <v>3373203.89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3373203.89</v>
      </c>
      <c r="G446" s="13">
        <f>SUM(G439:G445)</f>
        <v>0</v>
      </c>
      <c r="H446" s="13">
        <f>SUM(H439:H445)</f>
        <v>0</v>
      </c>
      <c r="I446" s="13">
        <f>SUM(I439:I445)</f>
        <v>3373203.89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276300</v>
      </c>
      <c r="G448" s="18"/>
      <c r="H448" s="18"/>
      <c r="I448" s="56">
        <f>SUM(F448:H448)</f>
        <v>276300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276300</v>
      </c>
      <c r="G452" s="72">
        <f>SUM(G448:G451)</f>
        <v>0</v>
      </c>
      <c r="H452" s="72">
        <f>SUM(H448:H451)</f>
        <v>0</v>
      </c>
      <c r="I452" s="72">
        <f>SUM(I448:I451)</f>
        <v>276300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F446-F452</f>
        <v>3096903.89</v>
      </c>
      <c r="G459" s="18"/>
      <c r="H459" s="18"/>
      <c r="I459" s="56">
        <f t="shared" si="34"/>
        <v>3096903.89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3096903.89</v>
      </c>
      <c r="G460" s="83">
        <f>SUM(G454:G459)</f>
        <v>0</v>
      </c>
      <c r="H460" s="83">
        <f>SUM(H454:H459)</f>
        <v>0</v>
      </c>
      <c r="I460" s="83">
        <f>SUM(I454:I459)</f>
        <v>3096903.89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3373203.89</v>
      </c>
      <c r="G461" s="42">
        <f>G452+G460</f>
        <v>0</v>
      </c>
      <c r="H461" s="42">
        <f>H452+H460</f>
        <v>0</v>
      </c>
      <c r="I461" s="42">
        <f>I452+I460</f>
        <v>3373203.89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2744562</v>
      </c>
      <c r="G465" s="18">
        <v>0</v>
      </c>
      <c r="H465" s="18">
        <v>16922.52</v>
      </c>
      <c r="I465" s="18">
        <v>91559.47</v>
      </c>
      <c r="J465" s="18">
        <f>2631995+1129942.88</f>
        <v>3761937.88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37238175.710000001</v>
      </c>
      <c r="G468" s="18">
        <v>654443.1</v>
      </c>
      <c r="H468" s="18">
        <f>H193</f>
        <v>915817.63000000012</v>
      </c>
      <c r="I468" s="18"/>
      <c r="J468" s="18">
        <f>15890.9+0-2461.45+400000</f>
        <v>413429.45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2896.29</v>
      </c>
      <c r="G469" s="18"/>
      <c r="H469" s="18"/>
      <c r="I469" s="18"/>
      <c r="J469" s="18">
        <v>28234.65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37241072</v>
      </c>
      <c r="G470" s="53">
        <f>SUM(G468:G469)</f>
        <v>654443.1</v>
      </c>
      <c r="H470" s="53">
        <f>SUM(H468:H469)</f>
        <v>915817.63000000012</v>
      </c>
      <c r="I470" s="53">
        <f>SUM(I468:I469)</f>
        <v>0</v>
      </c>
      <c r="J470" s="53">
        <f>SUM(J468:J469)</f>
        <v>441664.10000000003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36519601.670000002</v>
      </c>
      <c r="G472" s="18">
        <v>649288.1</v>
      </c>
      <c r="H472" s="18">
        <f>L352</f>
        <v>931920.66299999994</v>
      </c>
      <c r="I472" s="18">
        <v>5873.88</v>
      </c>
      <c r="J472" s="18">
        <f>L434</f>
        <v>1106698.0899999999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>
        <v>819.49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36519601.670000002</v>
      </c>
      <c r="G474" s="53">
        <f>SUM(G472:G473)</f>
        <v>649288.1</v>
      </c>
      <c r="H474" s="53">
        <f>SUM(H472:H473)</f>
        <v>932740.15299999993</v>
      </c>
      <c r="I474" s="53">
        <f>SUM(I472:I473)</f>
        <v>5873.88</v>
      </c>
      <c r="J474" s="53">
        <f>SUM(J472:J473)</f>
        <v>1106698.0899999999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3466032.3299999982</v>
      </c>
      <c r="G476" s="53">
        <f>(G465+G470)- G474</f>
        <v>5155</v>
      </c>
      <c r="H476" s="53">
        <f>(H465+H470)- H474</f>
        <v>-2.9999997932463884E-3</v>
      </c>
      <c r="I476" s="53">
        <f>(I465+I470)- I474</f>
        <v>85685.59</v>
      </c>
      <c r="J476" s="53">
        <f>(J465+J470)- J474</f>
        <v>3096903.8899999997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8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911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715000</v>
      </c>
      <c r="G493" s="18">
        <v>23650600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4.75</v>
      </c>
      <c r="G494" s="18">
        <v>3.3778000000000001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500500</v>
      </c>
      <c r="G495" s="18">
        <v>21285000</v>
      </c>
      <c r="H495" s="18"/>
      <c r="I495" s="18"/>
      <c r="J495" s="18"/>
      <c r="K495" s="53">
        <f>SUM(F495:J495)</f>
        <v>21785500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71500</v>
      </c>
      <c r="G497" s="18">
        <v>1185000</v>
      </c>
      <c r="H497" s="18"/>
      <c r="I497" s="18"/>
      <c r="J497" s="18"/>
      <c r="K497" s="53">
        <f t="shared" si="35"/>
        <v>1256500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429000</v>
      </c>
      <c r="G498" s="204">
        <v>20100000</v>
      </c>
      <c r="H498" s="204"/>
      <c r="I498" s="204"/>
      <c r="J498" s="204"/>
      <c r="K498" s="205">
        <f t="shared" si="35"/>
        <v>20529000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71321.279999999999</v>
      </c>
      <c r="G499" s="18">
        <v>7184550</v>
      </c>
      <c r="H499" s="18"/>
      <c r="I499" s="18"/>
      <c r="J499" s="18"/>
      <c r="K499" s="53">
        <f t="shared" si="35"/>
        <v>7255871.2800000003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500321.28000000003</v>
      </c>
      <c r="G500" s="42">
        <f>SUM(G498:G499)</f>
        <v>27284550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27784871.280000001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71500</v>
      </c>
      <c r="G501" s="204">
        <v>1185000</v>
      </c>
      <c r="H501" s="204"/>
      <c r="I501" s="204"/>
      <c r="J501" s="204"/>
      <c r="K501" s="205">
        <f t="shared" si="35"/>
        <v>1256500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20377.5</v>
      </c>
      <c r="G502" s="18">
        <v>812900</v>
      </c>
      <c r="H502" s="18"/>
      <c r="I502" s="18"/>
      <c r="J502" s="18"/>
      <c r="K502" s="53">
        <f t="shared" si="35"/>
        <v>833277.5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91877.5</v>
      </c>
      <c r="G503" s="42">
        <f>SUM(G501:G502)</f>
        <v>1997900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2089777.5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679058.34+512288.59</f>
        <v>1191346.93</v>
      </c>
      <c r="G521" s="18">
        <f>351406.36+30850.62+6096.72+87137.03+50872.84+102078.44+3814.97</f>
        <v>632256.98</v>
      </c>
      <c r="H521" s="18">
        <f>120521.2+32365.96</f>
        <v>152887.16</v>
      </c>
      <c r="I521" s="18">
        <f>5734.78+1243.4+953.78</f>
        <v>7931.96</v>
      </c>
      <c r="J521" s="18">
        <f>4218.07+1074.78</f>
        <v>5292.8499999999995</v>
      </c>
      <c r="K521" s="18"/>
      <c r="L521" s="88">
        <f>SUM(F521:K521)</f>
        <v>1989715.88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450299.47+418201.21</f>
        <v>868500.67999999993</v>
      </c>
      <c r="G522" s="18">
        <f>389164.42+31333.85+4953.89+64195.42+44632.82+63830.03+3128.07</f>
        <v>601238.49999999988</v>
      </c>
      <c r="H522" s="18">
        <f>34369.92+365662.59</f>
        <v>400032.51</v>
      </c>
      <c r="I522" s="18">
        <f>8171.07+1452.63+2166.8</f>
        <v>11790.5</v>
      </c>
      <c r="J522" s="18">
        <f>1094.36</f>
        <v>1094.3599999999999</v>
      </c>
      <c r="K522" s="18"/>
      <c r="L522" s="88">
        <f>SUM(F522:K522)</f>
        <v>1882656.5499999998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9788.8+539928.72+152957.63</f>
        <v>702675.15</v>
      </c>
      <c r="G523" s="18">
        <f>154634.64+11242.89+3868.58+52803.88+16473.4+78752.04+2338.22</f>
        <v>320113.64999999997</v>
      </c>
      <c r="H523" s="18">
        <f>790.69+33426.61+747508.08</f>
        <v>781725.38</v>
      </c>
      <c r="I523" s="18">
        <f>7349.68+3840.93+1119.64</f>
        <v>12310.25</v>
      </c>
      <c r="J523" s="18">
        <f>2000</f>
        <v>2000</v>
      </c>
      <c r="K523" s="18"/>
      <c r="L523" s="88">
        <f>SUM(F523:K523)</f>
        <v>1818824.4300000002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2762522.76</v>
      </c>
      <c r="G524" s="108">
        <f t="shared" ref="G524:L524" si="36">SUM(G521:G523)</f>
        <v>1553609.13</v>
      </c>
      <c r="H524" s="108">
        <f t="shared" si="36"/>
        <v>1334645.05</v>
      </c>
      <c r="I524" s="108">
        <f t="shared" si="36"/>
        <v>32032.71</v>
      </c>
      <c r="J524" s="108">
        <f t="shared" si="36"/>
        <v>8387.2099999999991</v>
      </c>
      <c r="K524" s="108">
        <f t="shared" si="36"/>
        <v>0</v>
      </c>
      <c r="L524" s="89">
        <f t="shared" si="36"/>
        <v>5691196.8599999994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296328.24+221.72-F531</f>
        <v>247411.90999999997</v>
      </c>
      <c r="G526" s="18">
        <f>132428.34+830.2+16.96-G531</f>
        <v>106269.59</v>
      </c>
      <c r="H526" s="18">
        <f>49218.76+47880.73+69.88</f>
        <v>97169.37000000001</v>
      </c>
      <c r="I526" s="18">
        <f>3326.86+2664.87</f>
        <v>5991.73</v>
      </c>
      <c r="J526" s="18">
        <f>2557.56+4120</f>
        <v>6677.5599999999995</v>
      </c>
      <c r="K526" s="18"/>
      <c r="L526" s="88">
        <f>SUM(F526:K526)</f>
        <v>463520.16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218334.78+163.36-F532</f>
        <v>182293.19999999998</v>
      </c>
      <c r="G527" s="18">
        <f>97573.26+611.7+12.5-G532</f>
        <v>78299.489999999991</v>
      </c>
      <c r="H527" s="18">
        <f>36264.4+35278.54+51.49</f>
        <v>71594.430000000008</v>
      </c>
      <c r="I527" s="18">
        <f>2451.23+1963.48</f>
        <v>4414.71</v>
      </c>
      <c r="J527" s="18">
        <f>1884.41+3035.61</f>
        <v>4920.0200000000004</v>
      </c>
      <c r="K527" s="18"/>
      <c r="L527" s="88">
        <f>SUM(F527:K527)</f>
        <v>341521.85000000003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333433.52+249.48-F533</f>
        <v>278392.03999999998</v>
      </c>
      <c r="G528" s="18">
        <f>149010.6+934.16+19.08-G533</f>
        <v>119576.34</v>
      </c>
      <c r="H528" s="18">
        <f>55381.71+53876.2+78.63</f>
        <v>109336.54000000001</v>
      </c>
      <c r="I528" s="18">
        <f>3743.44+2998.56</f>
        <v>6742</v>
      </c>
      <c r="J528" s="18">
        <f>2877.81+4635.89</f>
        <v>7513.7000000000007</v>
      </c>
      <c r="K528" s="18"/>
      <c r="L528" s="88">
        <f>SUM(F528:K528)</f>
        <v>521560.62000000005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708097.14999999991</v>
      </c>
      <c r="G529" s="89">
        <f t="shared" ref="G529:L529" si="37">SUM(G526:G528)</f>
        <v>304145.42</v>
      </c>
      <c r="H529" s="89">
        <f t="shared" si="37"/>
        <v>278100.34000000003</v>
      </c>
      <c r="I529" s="89">
        <f t="shared" si="37"/>
        <v>17148.439999999999</v>
      </c>
      <c r="J529" s="89">
        <f t="shared" si="37"/>
        <v>19111.28</v>
      </c>
      <c r="K529" s="89">
        <f t="shared" si="37"/>
        <v>0</v>
      </c>
      <c r="L529" s="89">
        <f t="shared" si="37"/>
        <v>1326602.6300000001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34615.34+14522.71</f>
        <v>49138.049999999996</v>
      </c>
      <c r="G531" s="18">
        <v>27005.91</v>
      </c>
      <c r="H531" s="18"/>
      <c r="I531" s="18"/>
      <c r="J531" s="18"/>
      <c r="K531" s="18"/>
      <c r="L531" s="88">
        <f>SUM(F531:K531)</f>
        <v>76143.959999999992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25504.6+10700.34</f>
        <v>36204.94</v>
      </c>
      <c r="G532" s="18">
        <v>19897.97</v>
      </c>
      <c r="H532" s="18"/>
      <c r="I532" s="18"/>
      <c r="J532" s="18"/>
      <c r="K532" s="18"/>
      <c r="L532" s="88">
        <f>SUM(F532:K532)</f>
        <v>56102.91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38949.76+16341.2</f>
        <v>55290.960000000006</v>
      </c>
      <c r="G533" s="18">
        <v>30387.5</v>
      </c>
      <c r="H533" s="18"/>
      <c r="I533" s="18"/>
      <c r="J533" s="18"/>
      <c r="K533" s="18"/>
      <c r="L533" s="88">
        <f>SUM(F533:K533)</f>
        <v>85678.46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140633.95000000001</v>
      </c>
      <c r="G534" s="89">
        <f t="shared" ref="G534:L534" si="38">SUM(G531:G533)</f>
        <v>77291.38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217925.33000000002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31273.61</v>
      </c>
      <c r="G541" s="18">
        <v>2421.98</v>
      </c>
      <c r="H541" s="18">
        <v>23373.37</v>
      </c>
      <c r="I541" s="18">
        <v>9177.23</v>
      </c>
      <c r="J541" s="18"/>
      <c r="K541" s="18"/>
      <c r="L541" s="88">
        <f>SUM(F541:K541)</f>
        <v>66246.19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23042.41</v>
      </c>
      <c r="G542" s="18">
        <v>1784.51</v>
      </c>
      <c r="H542" s="18">
        <v>17221.509999999998</v>
      </c>
      <c r="I542" s="18">
        <v>6761.79</v>
      </c>
      <c r="J542" s="18"/>
      <c r="K542" s="18"/>
      <c r="L542" s="88">
        <f>SUM(F542:K542)</f>
        <v>48810.219999999994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35189.599999999999</v>
      </c>
      <c r="G543" s="18">
        <v>2725.25</v>
      </c>
      <c r="H543" s="18">
        <v>26300.11</v>
      </c>
      <c r="I543" s="18">
        <v>10326.379999999999</v>
      </c>
      <c r="J543" s="18"/>
      <c r="K543" s="18"/>
      <c r="L543" s="88">
        <f>SUM(F543:K543)</f>
        <v>74541.34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89505.62</v>
      </c>
      <c r="G544" s="193">
        <f t="shared" ref="G544:L544" si="40">SUM(G541:G543)</f>
        <v>6931.74</v>
      </c>
      <c r="H544" s="193">
        <f t="shared" si="40"/>
        <v>66894.989999999991</v>
      </c>
      <c r="I544" s="193">
        <f t="shared" si="40"/>
        <v>26265.4</v>
      </c>
      <c r="J544" s="193">
        <f t="shared" si="40"/>
        <v>0</v>
      </c>
      <c r="K544" s="193">
        <f t="shared" si="40"/>
        <v>0</v>
      </c>
      <c r="L544" s="193">
        <f t="shared" si="40"/>
        <v>189597.75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3700759.48</v>
      </c>
      <c r="G545" s="89">
        <f t="shared" ref="G545:L545" si="41">G524+G529+G534+G539+G544</f>
        <v>1941977.6699999997</v>
      </c>
      <c r="H545" s="89">
        <f t="shared" si="41"/>
        <v>1679640.3800000001</v>
      </c>
      <c r="I545" s="89">
        <f t="shared" si="41"/>
        <v>75446.549999999988</v>
      </c>
      <c r="J545" s="89">
        <f t="shared" si="41"/>
        <v>27498.489999999998</v>
      </c>
      <c r="K545" s="89">
        <f t="shared" si="41"/>
        <v>0</v>
      </c>
      <c r="L545" s="89">
        <f t="shared" si="41"/>
        <v>7425322.5699999994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1989715.88</v>
      </c>
      <c r="G549" s="87">
        <f>L526</f>
        <v>463520.16</v>
      </c>
      <c r="H549" s="87">
        <f>L531</f>
        <v>76143.959999999992</v>
      </c>
      <c r="I549" s="87">
        <f>L536</f>
        <v>0</v>
      </c>
      <c r="J549" s="87">
        <f>L541</f>
        <v>66246.19</v>
      </c>
      <c r="K549" s="87">
        <f>SUM(F549:J549)</f>
        <v>2595626.19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1882656.5499999998</v>
      </c>
      <c r="G550" s="87">
        <f>L527</f>
        <v>341521.85000000003</v>
      </c>
      <c r="H550" s="87">
        <f>L532</f>
        <v>56102.91</v>
      </c>
      <c r="I550" s="87">
        <f>L537</f>
        <v>0</v>
      </c>
      <c r="J550" s="87">
        <f>L542</f>
        <v>48810.219999999994</v>
      </c>
      <c r="K550" s="87">
        <f>SUM(F550:J550)</f>
        <v>2329091.5300000003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1818824.4300000002</v>
      </c>
      <c r="G551" s="87">
        <f>L528</f>
        <v>521560.62000000005</v>
      </c>
      <c r="H551" s="87">
        <f>L533</f>
        <v>85678.46</v>
      </c>
      <c r="I551" s="87">
        <f>L538</f>
        <v>0</v>
      </c>
      <c r="J551" s="87">
        <f>L543</f>
        <v>74541.34</v>
      </c>
      <c r="K551" s="87">
        <f>SUM(F551:J551)</f>
        <v>2500604.85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5691196.8599999994</v>
      </c>
      <c r="G552" s="89">
        <f t="shared" si="42"/>
        <v>1326602.6300000001</v>
      </c>
      <c r="H552" s="89">
        <f t="shared" si="42"/>
        <v>217925.33000000002</v>
      </c>
      <c r="I552" s="89">
        <f t="shared" si="42"/>
        <v>0</v>
      </c>
      <c r="J552" s="89">
        <f t="shared" si="42"/>
        <v>189597.75</v>
      </c>
      <c r="K552" s="89">
        <f t="shared" si="42"/>
        <v>7425322.5700000003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f>12008.98</f>
        <v>12008.98</v>
      </c>
      <c r="G575" s="18">
        <v>8848.2199999999993</v>
      </c>
      <c r="H575" s="18">
        <v>13512.71</v>
      </c>
      <c r="I575" s="87">
        <f>SUM(F575:H575)</f>
        <v>34369.909999999996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>
        <v>120521.2</v>
      </c>
      <c r="H576" s="18">
        <v>33426.61</v>
      </c>
      <c r="I576" s="87">
        <f t="shared" ref="I576:I587" si="47">SUM(F576:H576)</f>
        <v>153947.81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f>630.16+31735.8</f>
        <v>32365.96</v>
      </c>
      <c r="G583" s="18">
        <v>365662.59</v>
      </c>
      <c r="H583" s="18">
        <v>747508.08</v>
      </c>
      <c r="I583" s="87">
        <f t="shared" si="47"/>
        <v>1145536.6299999999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f>H235</f>
        <v>481276.14</v>
      </c>
      <c r="I585" s="87">
        <f t="shared" si="47"/>
        <v>481276.14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173266.41+44653.34</f>
        <v>217919.75</v>
      </c>
      <c r="I591" s="18">
        <f>127662.77+32900.6</f>
        <v>160563.37</v>
      </c>
      <c r="J591" s="18">
        <f>194962.28+50244.69</f>
        <v>245206.97</v>
      </c>
      <c r="K591" s="104">
        <f t="shared" ref="K591:K597" si="48">SUM(H591:J591)</f>
        <v>623690.09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L541</f>
        <v>66246.19</v>
      </c>
      <c r="I592" s="18">
        <f>L542</f>
        <v>48810.219999999994</v>
      </c>
      <c r="J592" s="18">
        <f>L543</f>
        <v>74541.34</v>
      </c>
      <c r="K592" s="104">
        <f t="shared" si="48"/>
        <v>189597.75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11308.24</v>
      </c>
      <c r="I593" s="18">
        <v>8331.92</v>
      </c>
      <c r="J593" s="18">
        <v>12724.22</v>
      </c>
      <c r="K593" s="104">
        <f t="shared" si="48"/>
        <v>32364.379999999997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10196.14</v>
      </c>
      <c r="J594" s="18">
        <v>84263.43</v>
      </c>
      <c r="K594" s="104">
        <f t="shared" si="48"/>
        <v>94459.569999999992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11373.59</v>
      </c>
      <c r="I595" s="18">
        <v>8380.07</v>
      </c>
      <c r="J595" s="18">
        <v>12797.76</v>
      </c>
      <c r="K595" s="104">
        <f t="shared" si="48"/>
        <v>32551.42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306847.77</v>
      </c>
      <c r="I598" s="108">
        <f>SUM(I591:I597)</f>
        <v>236281.72000000003</v>
      </c>
      <c r="J598" s="108">
        <f>SUM(J591:J597)</f>
        <v>429533.72</v>
      </c>
      <c r="K598" s="108">
        <f>SUM(K591:K597)</f>
        <v>972663.21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1747.02</v>
      </c>
      <c r="I602" s="18">
        <v>1287.2</v>
      </c>
      <c r="J602" s="18">
        <v>1965.78</v>
      </c>
      <c r="K602" s="104">
        <f>SUM(H602:J602)</f>
        <v>5000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18994.68+6838.46+248.35+1623.63+5706.87+20778.59+1522.32+995+12119.6+5147.4+2960.88+4120+718.62+970.54</f>
        <v>82744.939999999988</v>
      </c>
      <c r="I604" s="18">
        <f>1773.86+2233.16+3144.07+669.27+25133.23+1121.65+245.95+10222.61+2181.58+3035.61+529.48+715.09</f>
        <v>51005.56</v>
      </c>
      <c r="J604" s="18">
        <f>96558.21+3739.14+7751.69+495.54+45744.42+1712.95+6386.14+15551.35+3331.63+4635.89+808.6+1092.07-2943.3</f>
        <v>184864.33000000007</v>
      </c>
      <c r="K604" s="104">
        <f>SUM(H604:J604)</f>
        <v>318614.83000000007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84491.959999999992</v>
      </c>
      <c r="I605" s="108">
        <f>SUM(I602:I604)</f>
        <v>52292.759999999995</v>
      </c>
      <c r="J605" s="108">
        <f>SUM(J602:J604)</f>
        <v>186830.11000000007</v>
      </c>
      <c r="K605" s="108">
        <f>SUM(K602:K604)</f>
        <v>323614.83000000007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8000+19116.19</f>
        <v>27116.19</v>
      </c>
      <c r="G611" s="18">
        <f>612+1462+483</f>
        <v>2557</v>
      </c>
      <c r="H611" s="18"/>
      <c r="I611" s="18"/>
      <c r="J611" s="18"/>
      <c r="K611" s="18"/>
      <c r="L611" s="88">
        <f>SUM(F611:K611)</f>
        <v>29673.19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14005.13</f>
        <v>14005.13</v>
      </c>
      <c r="G612" s="18">
        <f>1070.73+1606.46</f>
        <v>2677.19</v>
      </c>
      <c r="H612" s="18"/>
      <c r="I612" s="18"/>
      <c r="J612" s="18"/>
      <c r="K612" s="18"/>
      <c r="L612" s="88">
        <f>SUM(F612:K612)</f>
        <v>16682.32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21901.72</f>
        <v>21901.72</v>
      </c>
      <c r="G613" s="18">
        <f>1674.98+2479.58</f>
        <v>4154.5599999999995</v>
      </c>
      <c r="H613" s="18"/>
      <c r="I613" s="18"/>
      <c r="J613" s="18"/>
      <c r="K613" s="18"/>
      <c r="L613" s="88">
        <f>SUM(F613:K613)</f>
        <v>26056.28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63023.040000000001</v>
      </c>
      <c r="G614" s="108">
        <f t="shared" si="49"/>
        <v>9388.75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72411.789999999994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3464460.4099999997</v>
      </c>
      <c r="H617" s="109">
        <f>SUM(F52)</f>
        <v>3464460.41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40678.58</v>
      </c>
      <c r="H618" s="109">
        <f>SUM(G52)</f>
        <v>40678.58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297534.61</v>
      </c>
      <c r="H619" s="109">
        <f>SUM(H52)</f>
        <v>297534.61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85685.59</v>
      </c>
      <c r="H620" s="109">
        <f>SUM(I52)</f>
        <v>85685.59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3373203.89</v>
      </c>
      <c r="H621" s="109">
        <f>SUM(J52)</f>
        <v>3373203.89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3466032.33</v>
      </c>
      <c r="H622" s="109">
        <f>F476</f>
        <v>3466032.3299999982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5155</v>
      </c>
      <c r="H623" s="109">
        <f>G476</f>
        <v>5155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-2.9999997932463884E-3</v>
      </c>
      <c r="I624" s="121" t="s">
        <v>103</v>
      </c>
      <c r="J624" s="109">
        <f t="shared" si="50"/>
        <v>2.9999997932463884E-3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85685.59</v>
      </c>
      <c r="H625" s="109">
        <f>I476</f>
        <v>85685.59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3096903.89</v>
      </c>
      <c r="H626" s="109">
        <f>J476</f>
        <v>3096903.8899999997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37238175.710000001</v>
      </c>
      <c r="H627" s="104">
        <f>SUM(F468)</f>
        <v>37238175.710000001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654443.10000000009</v>
      </c>
      <c r="H628" s="104">
        <f>SUM(G468)</f>
        <v>654443.1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915817.63000000012</v>
      </c>
      <c r="H629" s="104">
        <f>SUM(H468)</f>
        <v>915817.63000000012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413429.45</v>
      </c>
      <c r="H631" s="104">
        <f>SUM(J468)</f>
        <v>413429.45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36519601.670000002</v>
      </c>
      <c r="H632" s="104">
        <f>SUM(F472)</f>
        <v>36519601.670000002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931920.66299999994</v>
      </c>
      <c r="H633" s="104">
        <f>SUM(H472)</f>
        <v>931920.66299999994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37474.97</v>
      </c>
      <c r="H634" s="104">
        <f>I369</f>
        <v>37474.97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649288.1</v>
      </c>
      <c r="H635" s="104">
        <f>SUM(G472)</f>
        <v>649288.1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5873.88</v>
      </c>
      <c r="H636" s="104">
        <f>SUM(I472)</f>
        <v>5873.88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413429.45</v>
      </c>
      <c r="H637" s="164">
        <f>SUM(J468)</f>
        <v>413429.45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1106698.0899999999</v>
      </c>
      <c r="H638" s="164">
        <f>SUM(J472)</f>
        <v>1106698.0899999999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3373203.89</v>
      </c>
      <c r="H639" s="104">
        <f>SUM(F461)</f>
        <v>3373203.89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3373203.89</v>
      </c>
      <c r="H642" s="104">
        <f>SUM(I461)</f>
        <v>3373203.89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13429.45</v>
      </c>
      <c r="H644" s="104">
        <f>H408</f>
        <v>13429.45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400000</v>
      </c>
      <c r="H645" s="104">
        <f>G408</f>
        <v>400000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413429.45</v>
      </c>
      <c r="H646" s="104">
        <f>L408</f>
        <v>413429.45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972663.21</v>
      </c>
      <c r="H647" s="104">
        <f>L208+L226+L244</f>
        <v>972663.21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323614.83000000007</v>
      </c>
      <c r="H648" s="104">
        <f>(J257+J338)-(J255+J336)</f>
        <v>323614.83299999998</v>
      </c>
      <c r="I648" s="140" t="s">
        <v>703</v>
      </c>
      <c r="J648" s="109">
        <f t="shared" si="50"/>
        <v>-2.9999999096617103E-3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306847.76999999996</v>
      </c>
      <c r="H649" s="104">
        <f>H598</f>
        <v>306847.77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236281.71999999997</v>
      </c>
      <c r="H650" s="104">
        <f>I598</f>
        <v>236281.72000000003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429533.72</v>
      </c>
      <c r="H651" s="104">
        <f>J598</f>
        <v>429533.72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32127.67</v>
      </c>
      <c r="H652" s="104">
        <f>K263+K345</f>
        <v>32127.67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400000</v>
      </c>
      <c r="H655" s="104">
        <f>K266+K347</f>
        <v>400000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12546454</v>
      </c>
      <c r="G660" s="19">
        <f>(L229+L309+L359)</f>
        <v>9577675.25</v>
      </c>
      <c r="H660" s="19">
        <f>(L247+L328+L360)</f>
        <v>13184995.053000001</v>
      </c>
      <c r="I660" s="19">
        <f>SUM(F660:H660)</f>
        <v>35309124.303000003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120496.75437113665</v>
      </c>
      <c r="G661" s="19">
        <f>(L359/IF(SUM(L358:L360)=0,1,SUM(L358:L360))*(SUM(G97:G110)))</f>
        <v>88782.061484096193</v>
      </c>
      <c r="H661" s="19">
        <f>(L360/IF(SUM(L358:L360)=0,1,SUM(L358:L360))*(SUM(G97:G110)))</f>
        <v>135584.98414476716</v>
      </c>
      <c r="I661" s="19">
        <f>SUM(F661:H661)</f>
        <v>344863.8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308068.28999999998</v>
      </c>
      <c r="G662" s="19">
        <f>(L226+L306)-(J226+J306)</f>
        <v>236281.71999999997</v>
      </c>
      <c r="H662" s="19">
        <f>(L244+L325)-(J244+J325)</f>
        <v>429533.72</v>
      </c>
      <c r="I662" s="19">
        <f>SUM(F662:H662)</f>
        <v>973883.73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158540.09</v>
      </c>
      <c r="G663" s="199">
        <f>SUM(G575:G587)+SUM(I602:I604)+L612</f>
        <v>564007.09</v>
      </c>
      <c r="H663" s="199">
        <f>SUM(H575:H587)+SUM(J602:J604)+L613</f>
        <v>1488609.9300000002</v>
      </c>
      <c r="I663" s="19">
        <f>SUM(F663:H663)</f>
        <v>2211157.1100000003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11959348.865628863</v>
      </c>
      <c r="G664" s="19">
        <f>G660-SUM(G661:G663)</f>
        <v>8688604.3785159029</v>
      </c>
      <c r="H664" s="19">
        <f>H660-SUM(H661:H663)</f>
        <v>11131266.418855235</v>
      </c>
      <c r="I664" s="19">
        <f>I660-SUM(I661:I663)</f>
        <v>31779219.663000003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341.89+245.14</f>
        <v>587.03</v>
      </c>
      <c r="G665" s="248">
        <f>463.97</f>
        <v>463.97</v>
      </c>
      <c r="H665" s="248">
        <f>618.34</f>
        <v>618.34</v>
      </c>
      <c r="I665" s="19">
        <f>SUM(F665:H665)</f>
        <v>1669.3400000000001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20372.64</v>
      </c>
      <c r="G667" s="19">
        <f>ROUND(G664/G665,2)</f>
        <v>18726.650000000001</v>
      </c>
      <c r="H667" s="19">
        <f>ROUND(H664/H665,2)</f>
        <v>18001.849999999999</v>
      </c>
      <c r="I667" s="19">
        <f>ROUND(I664/I665,2)</f>
        <v>19037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-18.22</v>
      </c>
      <c r="I670" s="19">
        <f>SUM(F670:H670)</f>
        <v>-18.22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20372.64</v>
      </c>
      <c r="G672" s="19">
        <f>ROUND((G664+G669)/(G665+G670),2)</f>
        <v>18726.650000000001</v>
      </c>
      <c r="H672" s="19">
        <f>ROUND((H664+H669)/(H665+H670),2)</f>
        <v>18548.400000000001</v>
      </c>
      <c r="I672" s="19">
        <f>ROUND((I664+I669)/(I665+I670),2)</f>
        <v>19247.07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Lebanon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10148603.330000002</v>
      </c>
      <c r="C9" s="229">
        <f>'DOE25'!G197+'DOE25'!G215+'DOE25'!G233+'DOE25'!G276+'DOE25'!G295+'DOE25'!G314</f>
        <v>4920273.6599999992</v>
      </c>
    </row>
    <row r="10" spans="1:3" x14ac:dyDescent="0.2">
      <c r="A10" t="s">
        <v>779</v>
      </c>
      <c r="B10" s="240">
        <v>8934939.0800000001</v>
      </c>
      <c r="C10" s="240">
        <f>C9-C11-C12</f>
        <v>4434996.7299999995</v>
      </c>
    </row>
    <row r="11" spans="1:3" x14ac:dyDescent="0.2">
      <c r="A11" t="s">
        <v>780</v>
      </c>
      <c r="B11" s="240">
        <v>692554.14</v>
      </c>
      <c r="C11" s="240">
        <v>473987.25</v>
      </c>
    </row>
    <row r="12" spans="1:3" x14ac:dyDescent="0.2">
      <c r="A12" t="s">
        <v>781</v>
      </c>
      <c r="B12" s="240">
        <f>B9-B10-B11</f>
        <v>521110.11000000185</v>
      </c>
      <c r="C12" s="240">
        <v>11289.68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10148603.330000002</v>
      </c>
      <c r="C13" s="231">
        <f>SUM(C10:C12)</f>
        <v>4920273.6599999992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3613281.14</v>
      </c>
      <c r="C18" s="229">
        <f>'DOE25'!G198+'DOE25'!G216+'DOE25'!G234+'DOE25'!G277+'DOE25'!G296+'DOE25'!G315</f>
        <v>1935477.51</v>
      </c>
    </row>
    <row r="19" spans="1:3" x14ac:dyDescent="0.2">
      <c r="A19" t="s">
        <v>779</v>
      </c>
      <c r="B19" s="240">
        <v>2319493.9300000002</v>
      </c>
      <c r="C19" s="240">
        <f>C18-C20-C21</f>
        <v>804083.45</v>
      </c>
    </row>
    <row r="20" spans="1:3" x14ac:dyDescent="0.2">
      <c r="A20" t="s">
        <v>780</v>
      </c>
      <c r="B20" s="240">
        <v>1143360.77</v>
      </c>
      <c r="C20" s="240">
        <v>803786.06</v>
      </c>
    </row>
    <row r="21" spans="1:3" x14ac:dyDescent="0.2">
      <c r="A21" t="s">
        <v>781</v>
      </c>
      <c r="B21" s="240">
        <f>B18-B19-B20</f>
        <v>150426.43999999994</v>
      </c>
      <c r="C21" s="240">
        <v>327608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3613281.14</v>
      </c>
      <c r="C22" s="231">
        <f>SUM(C19:C21)</f>
        <v>1935477.51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377171.57999999996</v>
      </c>
      <c r="C36" s="235">
        <f>'DOE25'!G200+'DOE25'!G218+'DOE25'!G236+'DOE25'!G279+'DOE25'!G298+'DOE25'!G317</f>
        <v>57342.559999999998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377171.58</v>
      </c>
      <c r="C39" s="240">
        <v>57342.559999999998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377171.58</v>
      </c>
      <c r="C40" s="231">
        <f>SUM(C37:C39)</f>
        <v>57342.559999999998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29" sqref="E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Lebanon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23506748.439999998</v>
      </c>
      <c r="D5" s="20">
        <f>SUM('DOE25'!L197:L200)+SUM('DOE25'!L215:L218)+SUM('DOE25'!L233:L236)-F5-G5</f>
        <v>23312313.749999996</v>
      </c>
      <c r="E5" s="243"/>
      <c r="F5" s="255">
        <f>SUM('DOE25'!J197:J200)+SUM('DOE25'!J215:J218)+SUM('DOE25'!J233:J236)</f>
        <v>141033.27000000002</v>
      </c>
      <c r="G5" s="53">
        <f>SUM('DOE25'!K197:K200)+SUM('DOE25'!K215:K218)+SUM('DOE25'!K233:K236)</f>
        <v>53401.42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1480160.62</v>
      </c>
      <c r="D6" s="20">
        <f>'DOE25'!L202+'DOE25'!L220+'DOE25'!L238-F6-G6</f>
        <v>1477584.6400000001</v>
      </c>
      <c r="E6" s="243"/>
      <c r="F6" s="255">
        <f>'DOE25'!J202+'DOE25'!J220+'DOE25'!J238</f>
        <v>1871.98</v>
      </c>
      <c r="G6" s="53">
        <f>'DOE25'!K202+'DOE25'!K220+'DOE25'!K238</f>
        <v>704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1860953.3099999996</v>
      </c>
      <c r="D7" s="20">
        <f>'DOE25'!L203+'DOE25'!L221+'DOE25'!L239-F7-G7</f>
        <v>1762425.3899999997</v>
      </c>
      <c r="E7" s="243"/>
      <c r="F7" s="255">
        <f>'DOE25'!J203+'DOE25'!J221+'DOE25'!J239</f>
        <v>98527.92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1094861.93</v>
      </c>
      <c r="D8" s="243"/>
      <c r="E8" s="20">
        <f>'DOE25'!L204+'DOE25'!L222+'DOE25'!L240-F8-G8-D9-D11</f>
        <v>1050547.8999999999</v>
      </c>
      <c r="F8" s="255">
        <f>'DOE25'!J204+'DOE25'!J222+'DOE25'!J240</f>
        <v>4356.92</v>
      </c>
      <c r="G8" s="53">
        <f>'DOE25'!K204+'DOE25'!K222+'DOE25'!K240</f>
        <v>39957.11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183556.86</v>
      </c>
      <c r="D9" s="244">
        <v>183556.86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29157.5</v>
      </c>
      <c r="D10" s="243"/>
      <c r="E10" s="244">
        <v>29157.5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195536.75</v>
      </c>
      <c r="D11" s="244">
        <f>109384.98+86151.77</f>
        <v>195536.75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1647618.8199999998</v>
      </c>
      <c r="D12" s="20">
        <f>'DOE25'!L205+'DOE25'!L223+'DOE25'!L241-F12-G12</f>
        <v>1630815.7699999998</v>
      </c>
      <c r="E12" s="243"/>
      <c r="F12" s="255">
        <f>'DOE25'!J205+'DOE25'!J223+'DOE25'!J241</f>
        <v>7627.09</v>
      </c>
      <c r="G12" s="53">
        <f>'DOE25'!K205+'DOE25'!K223+'DOE25'!K241</f>
        <v>9175.9599999999991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2870044.83</v>
      </c>
      <c r="D14" s="20">
        <f>'DOE25'!L207+'DOE25'!L225+'DOE25'!L243-F14-G14</f>
        <v>2830844.91</v>
      </c>
      <c r="E14" s="243"/>
      <c r="F14" s="255">
        <f>'DOE25'!J207+'DOE25'!J225+'DOE25'!J243</f>
        <v>37893.56</v>
      </c>
      <c r="G14" s="53">
        <f>'DOE25'!K207+'DOE25'!K225+'DOE25'!K243</f>
        <v>1306.3600000000001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972663.21</v>
      </c>
      <c r="D15" s="20">
        <f>'DOE25'!L208+'DOE25'!L226+'DOE25'!L244-F15-G15</f>
        <v>971884.41999999993</v>
      </c>
      <c r="E15" s="243"/>
      <c r="F15" s="255">
        <f>'DOE25'!J208+'DOE25'!J226+'DOE25'!J244</f>
        <v>0</v>
      </c>
      <c r="G15" s="53">
        <f>'DOE25'!K208+'DOE25'!K226+'DOE25'!K244</f>
        <v>778.79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84229.229999999981</v>
      </c>
      <c r="D17" s="20">
        <f>'DOE25'!L251-F17-G17</f>
        <v>79639.719999999987</v>
      </c>
      <c r="E17" s="243"/>
      <c r="F17" s="255">
        <f>'DOE25'!J251</f>
        <v>2056.6999999999998</v>
      </c>
      <c r="G17" s="53">
        <f>'DOE25'!K251</f>
        <v>2532.81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2191100</v>
      </c>
      <c r="D25" s="243"/>
      <c r="E25" s="243"/>
      <c r="F25" s="258"/>
      <c r="G25" s="256"/>
      <c r="H25" s="257">
        <f>'DOE25'!L260+'DOE25'!L261+'DOE25'!L341+'DOE25'!L342</f>
        <v>2191100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649288.1</v>
      </c>
      <c r="D29" s="20">
        <f>'DOE25'!L358+'DOE25'!L359+'DOE25'!L360-'DOE25'!I367-F29-G29</f>
        <v>619037.28</v>
      </c>
      <c r="E29" s="243"/>
      <c r="F29" s="255">
        <f>'DOE25'!J358+'DOE25'!J359+'DOE25'!J360</f>
        <v>30250.82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931920.66299999994</v>
      </c>
      <c r="D31" s="20">
        <f>'DOE25'!L290+'DOE25'!L309+'DOE25'!L328+'DOE25'!L333+'DOE25'!L334+'DOE25'!L335-F31-G31</f>
        <v>899140.45999999985</v>
      </c>
      <c r="E31" s="243"/>
      <c r="F31" s="255">
        <f>'DOE25'!J290+'DOE25'!J309+'DOE25'!J328+'DOE25'!J333+'DOE25'!J334+'DOE25'!J335</f>
        <v>30247.393</v>
      </c>
      <c r="G31" s="53">
        <f>'DOE25'!K290+'DOE25'!K309+'DOE25'!K328+'DOE25'!K333+'DOE25'!K334+'DOE25'!K335</f>
        <v>2532.81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33962779.949999996</v>
      </c>
      <c r="E33" s="246">
        <f>SUM(E5:E31)</f>
        <v>1079705.3999999999</v>
      </c>
      <c r="F33" s="246">
        <f>SUM(F5:F31)</f>
        <v>353865.65300000005</v>
      </c>
      <c r="G33" s="246">
        <f>SUM(G5:G31)</f>
        <v>110389.25999999998</v>
      </c>
      <c r="H33" s="246">
        <f>SUM(H5:H31)</f>
        <v>2191100</v>
      </c>
    </row>
    <row r="35" spans="2:8" ht="12" thickBot="1" x14ac:dyDescent="0.25">
      <c r="B35" s="253" t="s">
        <v>847</v>
      </c>
      <c r="D35" s="254">
        <f>E33</f>
        <v>1079705.3999999999</v>
      </c>
      <c r="E35" s="249"/>
    </row>
    <row r="36" spans="2:8" ht="12" thickTop="1" x14ac:dyDescent="0.2">
      <c r="B36" t="s">
        <v>815</v>
      </c>
      <c r="D36" s="20">
        <f>D33</f>
        <v>33962779.949999996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Lebanon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1633277.8099999998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1384658.93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410236.24</v>
      </c>
      <c r="D11" s="95">
        <f>'DOE25'!G12</f>
        <v>0</v>
      </c>
      <c r="E11" s="95">
        <f>'DOE25'!H12</f>
        <v>4049.31</v>
      </c>
      <c r="F11" s="95">
        <f>'DOE25'!I12</f>
        <v>85685.59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16430.43</v>
      </c>
      <c r="D12" s="95">
        <f>'DOE25'!G13</f>
        <v>19804.84</v>
      </c>
      <c r="E12" s="95">
        <f>'DOE25'!H13</f>
        <v>293485.3</v>
      </c>
      <c r="F12" s="95">
        <f>'DOE25'!I13</f>
        <v>0</v>
      </c>
      <c r="G12" s="95">
        <f>'DOE25'!J13</f>
        <v>3373203.89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15718.74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5155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19857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3464460.4099999997</v>
      </c>
      <c r="D18" s="41">
        <f>SUM(D8:D17)</f>
        <v>40678.58</v>
      </c>
      <c r="E18" s="41">
        <f>SUM(E8:E17)</f>
        <v>297534.61</v>
      </c>
      <c r="F18" s="41">
        <f>SUM(F8:F17)</f>
        <v>85685.59</v>
      </c>
      <c r="G18" s="41">
        <f>SUM(G8:G17)</f>
        <v>3373203.89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21974.14</v>
      </c>
      <c r="E21" s="95">
        <f>'DOE25'!H22</f>
        <v>293485.3</v>
      </c>
      <c r="F21" s="95">
        <f>'DOE25'!I22</f>
        <v>0</v>
      </c>
      <c r="G21" s="95">
        <f>'DOE25'!J22</f>
        <v>276300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-1571.9199999999998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13549.44</v>
      </c>
      <c r="E29" s="95">
        <f>'DOE25'!H30</f>
        <v>4049.31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-1571.9199999999998</v>
      </c>
      <c r="D31" s="41">
        <f>SUM(D21:D30)</f>
        <v>35523.58</v>
      </c>
      <c r="E31" s="41">
        <f>SUM(E21:E30)</f>
        <v>297534.61</v>
      </c>
      <c r="F31" s="41">
        <f>SUM(F21:F30)</f>
        <v>0</v>
      </c>
      <c r="G31" s="41">
        <f>SUM(G21:G30)</f>
        <v>276300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5155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19857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85685.59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687183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3096903.89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435429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2123563.33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3466032.33</v>
      </c>
      <c r="D50" s="41">
        <f>SUM(D34:D49)</f>
        <v>5155</v>
      </c>
      <c r="E50" s="41">
        <f>SUM(E34:E49)</f>
        <v>0</v>
      </c>
      <c r="F50" s="41">
        <f>SUM(F34:F49)</f>
        <v>85685.59</v>
      </c>
      <c r="G50" s="41">
        <f>SUM(G34:G49)</f>
        <v>3096903.89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3464460.41</v>
      </c>
      <c r="D51" s="41">
        <f>D50+D31</f>
        <v>40678.58</v>
      </c>
      <c r="E51" s="41">
        <f>E50+E31</f>
        <v>297534.61</v>
      </c>
      <c r="F51" s="41">
        <f>F50+F31</f>
        <v>85685.59</v>
      </c>
      <c r="G51" s="41">
        <f>G50+G31</f>
        <v>3373203.89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22934610.300000001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4421067.4300000006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969.75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13429.45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344863.8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853682</v>
      </c>
      <c r="D61" s="95">
        <f>SUM('DOE25'!G98:G110)</f>
        <v>0</v>
      </c>
      <c r="E61" s="95">
        <f>SUM('DOE25'!H98:H110)</f>
        <v>86803.6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5275719.1800000006</v>
      </c>
      <c r="D62" s="130">
        <f>SUM(D57:D61)</f>
        <v>344863.8</v>
      </c>
      <c r="E62" s="130">
        <f>SUM(E57:E61)</f>
        <v>86803.6</v>
      </c>
      <c r="F62" s="130">
        <f>SUM(F57:F61)</f>
        <v>0</v>
      </c>
      <c r="G62" s="130">
        <f>SUM(G57:G61)</f>
        <v>13429.45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28210329.48</v>
      </c>
      <c r="D63" s="22">
        <f>D56+D62</f>
        <v>344863.8</v>
      </c>
      <c r="E63" s="22">
        <f>E56+E62</f>
        <v>86803.6</v>
      </c>
      <c r="F63" s="22">
        <f>F56+F62</f>
        <v>0</v>
      </c>
      <c r="G63" s="22">
        <f>G56+G62</f>
        <v>13429.45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1809045.72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4558377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6367422.7199999997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643603.42000000004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518817.95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189062.5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7626.28</v>
      </c>
      <c r="E77" s="95">
        <f>SUM('DOE25'!H131:H135)</f>
        <v>141951.83000000007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1351483.87</v>
      </c>
      <c r="D78" s="130">
        <f>SUM(D72:D77)</f>
        <v>7626.28</v>
      </c>
      <c r="E78" s="130">
        <f>SUM(E72:E77)</f>
        <v>141951.83000000007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7718906.5899999999</v>
      </c>
      <c r="D81" s="130">
        <f>SUM(D79:D80)+D78+D70</f>
        <v>7626.28</v>
      </c>
      <c r="E81" s="130">
        <f>SUM(E79:E80)+E78+E70</f>
        <v>141951.83000000007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236488.2</v>
      </c>
      <c r="D88" s="95">
        <f>SUM('DOE25'!G153:G161)</f>
        <v>269825.35000000003</v>
      </c>
      <c r="E88" s="95">
        <f>SUM('DOE25'!H153:H161)</f>
        <v>687062.20000000007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236488.2</v>
      </c>
      <c r="D91" s="131">
        <f>SUM(D85:D90)</f>
        <v>269825.35000000003</v>
      </c>
      <c r="E91" s="131">
        <f>SUM(E85:E90)</f>
        <v>687062.20000000007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32127.67</v>
      </c>
      <c r="E96" s="95">
        <f>'DOE25'!H179</f>
        <v>0</v>
      </c>
      <c r="F96" s="95">
        <f>'DOE25'!I179</f>
        <v>0</v>
      </c>
      <c r="G96" s="95">
        <f>'DOE25'!J179</f>
        <v>400000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1072451.44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1072451.44</v>
      </c>
      <c r="D103" s="86">
        <f>SUM(D93:D102)</f>
        <v>32127.67</v>
      </c>
      <c r="E103" s="86">
        <f>SUM(E93:E102)</f>
        <v>0</v>
      </c>
      <c r="F103" s="86">
        <f>SUM(F93:F102)</f>
        <v>0</v>
      </c>
      <c r="G103" s="86">
        <f>SUM(G93:G102)</f>
        <v>400000</v>
      </c>
    </row>
    <row r="104" spans="1:7" ht="12.75" thickTop="1" thickBot="1" x14ac:dyDescent="0.25">
      <c r="A104" s="33" t="s">
        <v>765</v>
      </c>
      <c r="C104" s="86">
        <f>C63+C81+C91+C103</f>
        <v>37238175.710000001</v>
      </c>
      <c r="D104" s="86">
        <f>D63+D81+D91+D103</f>
        <v>654443.10000000009</v>
      </c>
      <c r="E104" s="86">
        <f>E63+E81+E91+E103</f>
        <v>915817.63000000012</v>
      </c>
      <c r="F104" s="86">
        <f>F63+F81+F91+F103</f>
        <v>0</v>
      </c>
      <c r="G104" s="86">
        <f>G63+G81+G103</f>
        <v>413429.45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15512873.18</v>
      </c>
      <c r="D109" s="24" t="s">
        <v>289</v>
      </c>
      <c r="E109" s="95">
        <f>('DOE25'!L276)+('DOE25'!L295)+('DOE25'!L314)</f>
        <v>236300.02299999999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6881909.4500000002</v>
      </c>
      <c r="D110" s="24" t="s">
        <v>289</v>
      </c>
      <c r="E110" s="95">
        <f>('DOE25'!L277)+('DOE25'!L296)+('DOE25'!L315)</f>
        <v>361848.36000000004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481276.14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630689.66999999993</v>
      </c>
      <c r="D112" s="24" t="s">
        <v>289</v>
      </c>
      <c r="E112" s="95">
        <f>+('DOE25'!L279)+('DOE25'!L298)+('DOE25'!L317)</f>
        <v>43319.24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84229.229999999981</v>
      </c>
      <c r="D114" s="24" t="s">
        <v>289</v>
      </c>
      <c r="E114" s="95">
        <f>+ SUM('DOE25'!L333:L335)</f>
        <v>84229.229999999981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23590977.669999998</v>
      </c>
      <c r="D115" s="86">
        <f>SUM(D109:D114)</f>
        <v>0</v>
      </c>
      <c r="E115" s="86">
        <f>SUM(E109:E114)</f>
        <v>725696.853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1480160.62</v>
      </c>
      <c r="D118" s="24" t="s">
        <v>289</v>
      </c>
      <c r="E118" s="95">
        <f>+('DOE25'!L281)+('DOE25'!L300)+('DOE25'!L319)</f>
        <v>17332.669999999998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1860953.3099999996</v>
      </c>
      <c r="D119" s="24" t="s">
        <v>289</v>
      </c>
      <c r="E119" s="95">
        <f>+('DOE25'!L282)+('DOE25'!L301)+('DOE25'!L320)</f>
        <v>181239.87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1473955.5399999998</v>
      </c>
      <c r="D120" s="24" t="s">
        <v>289</v>
      </c>
      <c r="E120" s="95">
        <f>+('DOE25'!L283)+('DOE25'!L302)+('DOE25'!L321)</f>
        <v>5101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1647618.8199999998</v>
      </c>
      <c r="D121" s="24" t="s">
        <v>289</v>
      </c>
      <c r="E121" s="95">
        <f>+('DOE25'!L284)+('DOE25'!L303)+('DOE25'!L322)</f>
        <v>529.75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2870044.83</v>
      </c>
      <c r="D123" s="24" t="s">
        <v>289</v>
      </c>
      <c r="E123" s="95">
        <f>+('DOE25'!L286)+('DOE25'!L305)+('DOE25'!L324)</f>
        <v>800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972663.21</v>
      </c>
      <c r="D124" s="24" t="s">
        <v>289</v>
      </c>
      <c r="E124" s="95">
        <f>+('DOE25'!L287)+('DOE25'!L306)+('DOE25'!L325)</f>
        <v>1220.52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649288.1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10305396.329999998</v>
      </c>
      <c r="D128" s="86">
        <f>SUM(D118:D127)</f>
        <v>649288.1</v>
      </c>
      <c r="E128" s="86">
        <f>SUM(E118:E127)</f>
        <v>206223.80999999997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5873.88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1320000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871100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32127.67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413429.45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-13429.450000000012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2623227.67</v>
      </c>
      <c r="D144" s="141">
        <f>SUM(D130:D143)</f>
        <v>0</v>
      </c>
      <c r="E144" s="141">
        <f>SUM(E130:E143)</f>
        <v>0</v>
      </c>
      <c r="F144" s="141">
        <f>SUM(F130:F143)</f>
        <v>5873.88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36519601.670000002</v>
      </c>
      <c r="D145" s="86">
        <f>(D115+D128+D144)</f>
        <v>649288.1</v>
      </c>
      <c r="E145" s="86">
        <f>(E115+E128+E144)</f>
        <v>931920.66299999994</v>
      </c>
      <c r="F145" s="86">
        <f>(F115+F128+F144)</f>
        <v>5873.88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12/10</v>
      </c>
      <c r="C152" s="152" t="str">
        <f>'DOE25'!G491</f>
        <v>1/11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1/21</v>
      </c>
      <c r="C153" s="152" t="str">
        <f>'DOE25'!G492</f>
        <v>1/32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715000</v>
      </c>
      <c r="C154" s="137">
        <f>'DOE25'!G493</f>
        <v>23650600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4.75</v>
      </c>
      <c r="C155" s="137">
        <f>'DOE25'!G494</f>
        <v>3.3778000000000001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500500</v>
      </c>
      <c r="C156" s="137">
        <f>'DOE25'!G495</f>
        <v>21285000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21785500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71500</v>
      </c>
      <c r="C158" s="137">
        <f>'DOE25'!G497</f>
        <v>1185000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1256500</v>
      </c>
    </row>
    <row r="159" spans="1:9" x14ac:dyDescent="0.2">
      <c r="A159" s="22" t="s">
        <v>35</v>
      </c>
      <c r="B159" s="137">
        <f>'DOE25'!F498</f>
        <v>429000</v>
      </c>
      <c r="C159" s="137">
        <f>'DOE25'!G498</f>
        <v>20100000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20529000</v>
      </c>
    </row>
    <row r="160" spans="1:9" x14ac:dyDescent="0.2">
      <c r="A160" s="22" t="s">
        <v>36</v>
      </c>
      <c r="B160" s="137">
        <f>'DOE25'!F499</f>
        <v>71321.279999999999</v>
      </c>
      <c r="C160" s="137">
        <f>'DOE25'!G499</f>
        <v>7184550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7255871.2800000003</v>
      </c>
    </row>
    <row r="161" spans="1:7" x14ac:dyDescent="0.2">
      <c r="A161" s="22" t="s">
        <v>37</v>
      </c>
      <c r="B161" s="137">
        <f>'DOE25'!F500</f>
        <v>500321.28000000003</v>
      </c>
      <c r="C161" s="137">
        <f>'DOE25'!G500</f>
        <v>27284550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27784871.280000001</v>
      </c>
    </row>
    <row r="162" spans="1:7" x14ac:dyDescent="0.2">
      <c r="A162" s="22" t="s">
        <v>38</v>
      </c>
      <c r="B162" s="137">
        <f>'DOE25'!F501</f>
        <v>71500</v>
      </c>
      <c r="C162" s="137">
        <f>'DOE25'!G501</f>
        <v>1185000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1256500</v>
      </c>
    </row>
    <row r="163" spans="1:7" x14ac:dyDescent="0.2">
      <c r="A163" s="22" t="s">
        <v>39</v>
      </c>
      <c r="B163" s="137">
        <f>'DOE25'!F502</f>
        <v>20377.5</v>
      </c>
      <c r="C163" s="137">
        <f>'DOE25'!G502</f>
        <v>812900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833277.5</v>
      </c>
    </row>
    <row r="164" spans="1:7" x14ac:dyDescent="0.2">
      <c r="A164" s="22" t="s">
        <v>246</v>
      </c>
      <c r="B164" s="137">
        <f>'DOE25'!F503</f>
        <v>91877.5</v>
      </c>
      <c r="C164" s="137">
        <f>'DOE25'!G503</f>
        <v>1997900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2089777.5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6" workbookViewId="0">
      <selection activeCell="D4" sqref="D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Lebanon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20373</v>
      </c>
    </row>
    <row r="5" spans="1:4" x14ac:dyDescent="0.2">
      <c r="B5" t="s">
        <v>704</v>
      </c>
      <c r="C5" s="179">
        <f>IF('DOE25'!G665+'DOE25'!G670=0,0,ROUND('DOE25'!G672,0))</f>
        <v>18727</v>
      </c>
    </row>
    <row r="6" spans="1:4" x14ac:dyDescent="0.2">
      <c r="B6" t="s">
        <v>62</v>
      </c>
      <c r="C6" s="179">
        <f>IF('DOE25'!H665+'DOE25'!H670=0,0,ROUND('DOE25'!H672,0))</f>
        <v>18548</v>
      </c>
    </row>
    <row r="7" spans="1:4" x14ac:dyDescent="0.2">
      <c r="B7" t="s">
        <v>705</v>
      </c>
      <c r="C7" s="179">
        <f>IF('DOE25'!I665+'DOE25'!I670=0,0,ROUND('DOE25'!I672,0))</f>
        <v>19247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15749173</v>
      </c>
      <c r="D10" s="182">
        <f>ROUND((C10/$C$28)*100,1)</f>
        <v>43.7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7243758</v>
      </c>
      <c r="D11" s="182">
        <f>ROUND((C11/$C$28)*100,1)</f>
        <v>20.100000000000001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481276</v>
      </c>
      <c r="D12" s="182">
        <f>ROUND((C12/$C$28)*100,1)</f>
        <v>1.3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674009</v>
      </c>
      <c r="D13" s="182">
        <f>ROUND((C13/$C$28)*100,1)</f>
        <v>1.9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1497493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2042193</v>
      </c>
      <c r="D16" s="182">
        <f t="shared" si="0"/>
        <v>5.7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1479057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1648149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2870845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973884</v>
      </c>
      <c r="D21" s="182">
        <f t="shared" si="0"/>
        <v>2.7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168458</v>
      </c>
      <c r="D24" s="182">
        <f t="shared" si="0"/>
        <v>0.5</v>
      </c>
    </row>
    <row r="25" spans="1:4" x14ac:dyDescent="0.2">
      <c r="A25">
        <v>5120</v>
      </c>
      <c r="B25" t="s">
        <v>720</v>
      </c>
      <c r="C25" s="179">
        <f>ROUND('DOE25'!L261+'DOE25'!L342,0)</f>
        <v>871100</v>
      </c>
      <c r="D25" s="182">
        <f t="shared" si="0"/>
        <v>2.4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304424.2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36003819.200000003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5874</v>
      </c>
    </row>
    <row r="30" spans="1:4" x14ac:dyDescent="0.2">
      <c r="B30" s="187" t="s">
        <v>729</v>
      </c>
      <c r="C30" s="180">
        <f>SUM(C28:C29)</f>
        <v>36009693.200000003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1320000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22934610</v>
      </c>
      <c r="D35" s="182">
        <f t="shared" ref="D35:D40" si="1">ROUND((C35/$C$41)*100,1)</f>
        <v>61.4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5375952.5300000012</v>
      </c>
      <c r="D36" s="182">
        <f t="shared" si="1"/>
        <v>14.4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6367423</v>
      </c>
      <c r="D37" s="182">
        <f t="shared" si="1"/>
        <v>17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1501062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1193376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37372423.530000001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Lebanon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2015-08-31T12:18:46Z</cp:lastPrinted>
  <dcterms:created xsi:type="dcterms:W3CDTF">1997-12-04T19:04:30Z</dcterms:created>
  <dcterms:modified xsi:type="dcterms:W3CDTF">2015-11-25T18:37:43Z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