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C123" i="2" s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C13" i="10" s="1"/>
  <c r="L319" i="1"/>
  <c r="E118" i="2" s="1"/>
  <c r="L320" i="1"/>
  <c r="L321" i="1"/>
  <c r="L322" i="1"/>
  <c r="E121" i="2" s="1"/>
  <c r="L323" i="1"/>
  <c r="L324" i="1"/>
  <c r="L325" i="1"/>
  <c r="E124" i="2" s="1"/>
  <c r="L326" i="1"/>
  <c r="L333" i="1"/>
  <c r="L334" i="1"/>
  <c r="L335" i="1"/>
  <c r="L260" i="1"/>
  <c r="L261" i="1"/>
  <c r="L341" i="1"/>
  <c r="L342" i="1"/>
  <c r="E132" i="2" s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56" i="2" s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J111" i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C85" i="2" s="1"/>
  <c r="F162" i="1"/>
  <c r="G147" i="1"/>
  <c r="D85" i="2" s="1"/>
  <c r="G162" i="1"/>
  <c r="H147" i="1"/>
  <c r="E85" i="2" s="1"/>
  <c r="H162" i="1"/>
  <c r="I147" i="1"/>
  <c r="F85" i="2" s="1"/>
  <c r="I162" i="1"/>
  <c r="L250" i="1"/>
  <c r="C113" i="2" s="1"/>
  <c r="L332" i="1"/>
  <c r="L254" i="1"/>
  <c r="L268" i="1"/>
  <c r="L269" i="1"/>
  <c r="C143" i="2" s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C49" i="2"/>
  <c r="E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2" i="2"/>
  <c r="E112" i="2"/>
  <c r="E113" i="2"/>
  <c r="D115" i="2"/>
  <c r="F115" i="2"/>
  <c r="G115" i="2"/>
  <c r="E119" i="2"/>
  <c r="C12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G461" i="1" s="1"/>
  <c r="H640" i="1" s="1"/>
  <c r="H460" i="1"/>
  <c r="F470" i="1"/>
  <c r="G470" i="1"/>
  <c r="H470" i="1"/>
  <c r="I470" i="1"/>
  <c r="J470" i="1"/>
  <c r="F474" i="1"/>
  <c r="G474" i="1"/>
  <c r="G476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4" i="1"/>
  <c r="G650" i="1"/>
  <c r="G652" i="1"/>
  <c r="H652" i="1"/>
  <c r="G653" i="1"/>
  <c r="H653" i="1"/>
  <c r="G654" i="1"/>
  <c r="H654" i="1"/>
  <c r="H655" i="1"/>
  <c r="L570" i="1" l="1"/>
  <c r="I571" i="1"/>
  <c r="H623" i="1"/>
  <c r="I408" i="1"/>
  <c r="H25" i="13"/>
  <c r="C25" i="13" s="1"/>
  <c r="E123" i="2"/>
  <c r="L309" i="1"/>
  <c r="C131" i="2"/>
  <c r="C32" i="10"/>
  <c r="D19" i="13"/>
  <c r="C19" i="13" s="1"/>
  <c r="C110" i="2"/>
  <c r="I257" i="1"/>
  <c r="I271" i="1" s="1"/>
  <c r="C11" i="10"/>
  <c r="H571" i="1"/>
  <c r="H476" i="1"/>
  <c r="I476" i="1"/>
  <c r="L433" i="1"/>
  <c r="H192" i="1"/>
  <c r="G164" i="2"/>
  <c r="G156" i="2"/>
  <c r="J634" i="1"/>
  <c r="D127" i="2"/>
  <c r="D128" i="2" s="1"/>
  <c r="D145" i="2" s="1"/>
  <c r="D7" i="13"/>
  <c r="C7" i="13" s="1"/>
  <c r="C118" i="2"/>
  <c r="G645" i="1"/>
  <c r="J476" i="1"/>
  <c r="F476" i="1"/>
  <c r="G161" i="2"/>
  <c r="G157" i="2"/>
  <c r="K549" i="1"/>
  <c r="H552" i="1"/>
  <c r="G552" i="1"/>
  <c r="F130" i="2"/>
  <c r="F144" i="2" s="1"/>
  <c r="F145" i="2" s="1"/>
  <c r="J623" i="1"/>
  <c r="L427" i="1"/>
  <c r="L256" i="1"/>
  <c r="J552" i="1"/>
  <c r="C26" i="10"/>
  <c r="J571" i="1"/>
  <c r="F571" i="1"/>
  <c r="K500" i="1"/>
  <c r="G81" i="2"/>
  <c r="F78" i="2"/>
  <c r="F81" i="2" s="1"/>
  <c r="C70" i="2"/>
  <c r="E31" i="2"/>
  <c r="L401" i="1"/>
  <c r="C139" i="2" s="1"/>
  <c r="L362" i="1"/>
  <c r="C27" i="10" s="1"/>
  <c r="C25" i="10"/>
  <c r="E114" i="2"/>
  <c r="L290" i="1"/>
  <c r="G661" i="1"/>
  <c r="D18" i="13"/>
  <c r="C18" i="13" s="1"/>
  <c r="E16" i="13"/>
  <c r="C16" i="13" s="1"/>
  <c r="C120" i="2"/>
  <c r="K550" i="1"/>
  <c r="K605" i="1"/>
  <c r="G648" i="1" s="1"/>
  <c r="K598" i="1"/>
  <c r="G647" i="1" s="1"/>
  <c r="K571" i="1"/>
  <c r="L565" i="1"/>
  <c r="H461" i="1"/>
  <c r="H641" i="1" s="1"/>
  <c r="J641" i="1" s="1"/>
  <c r="C119" i="2"/>
  <c r="C114" i="2"/>
  <c r="I552" i="1"/>
  <c r="F552" i="1"/>
  <c r="H169" i="1"/>
  <c r="F169" i="1"/>
  <c r="L393" i="1"/>
  <c r="C138" i="2" s="1"/>
  <c r="D17" i="13"/>
  <c r="C17" i="13" s="1"/>
  <c r="D50" i="2"/>
  <c r="D51" i="2" s="1"/>
  <c r="I446" i="1"/>
  <c r="G642" i="1" s="1"/>
  <c r="L351" i="1"/>
  <c r="H661" i="1"/>
  <c r="A40" i="12"/>
  <c r="A13" i="12"/>
  <c r="G192" i="1"/>
  <c r="I169" i="1"/>
  <c r="D81" i="2"/>
  <c r="E78" i="2"/>
  <c r="E81" i="2" s="1"/>
  <c r="C78" i="2"/>
  <c r="D62" i="2"/>
  <c r="D63" i="2" s="1"/>
  <c r="G62" i="2"/>
  <c r="E62" i="2"/>
  <c r="E63" i="2" s="1"/>
  <c r="L614" i="1"/>
  <c r="J649" i="1"/>
  <c r="K551" i="1"/>
  <c r="H545" i="1"/>
  <c r="J545" i="1"/>
  <c r="L544" i="1"/>
  <c r="I545" i="1"/>
  <c r="L539" i="1"/>
  <c r="G545" i="1"/>
  <c r="L534" i="1"/>
  <c r="K545" i="1"/>
  <c r="L529" i="1"/>
  <c r="L524" i="1"/>
  <c r="K503" i="1"/>
  <c r="F461" i="1"/>
  <c r="H639" i="1" s="1"/>
  <c r="J639" i="1" s="1"/>
  <c r="I460" i="1"/>
  <c r="G47" i="2"/>
  <c r="J640" i="1"/>
  <c r="I452" i="1"/>
  <c r="G408" i="1"/>
  <c r="H645" i="1" s="1"/>
  <c r="H408" i="1"/>
  <c r="H644" i="1" s="1"/>
  <c r="J644" i="1" s="1"/>
  <c r="L382" i="1"/>
  <c r="G636" i="1" s="1"/>
  <c r="J636" i="1" s="1"/>
  <c r="D29" i="13"/>
  <c r="C29" i="13" s="1"/>
  <c r="F661" i="1"/>
  <c r="C29" i="10"/>
  <c r="L328" i="1"/>
  <c r="E122" i="2"/>
  <c r="E125" i="2"/>
  <c r="H662" i="1"/>
  <c r="H338" i="1"/>
  <c r="H352" i="1" s="1"/>
  <c r="E109" i="2"/>
  <c r="C21" i="10"/>
  <c r="E120" i="2"/>
  <c r="F338" i="1"/>
  <c r="F352" i="1" s="1"/>
  <c r="K338" i="1"/>
  <c r="K352" i="1" s="1"/>
  <c r="G338" i="1"/>
  <c r="G352" i="1" s="1"/>
  <c r="E111" i="2"/>
  <c r="F662" i="1"/>
  <c r="C15" i="10"/>
  <c r="C19" i="10"/>
  <c r="C16" i="10"/>
  <c r="J338" i="1"/>
  <c r="J352" i="1" s="1"/>
  <c r="J655" i="1"/>
  <c r="C132" i="2"/>
  <c r="F22" i="13"/>
  <c r="C22" i="13" s="1"/>
  <c r="C121" i="2"/>
  <c r="D6" i="13"/>
  <c r="C6" i="13" s="1"/>
  <c r="L247" i="1"/>
  <c r="C17" i="10"/>
  <c r="K257" i="1"/>
  <c r="K271" i="1" s="1"/>
  <c r="G651" i="1"/>
  <c r="J651" i="1" s="1"/>
  <c r="C124" i="2"/>
  <c r="F257" i="1"/>
  <c r="F271" i="1" s="1"/>
  <c r="C10" i="10"/>
  <c r="H257" i="1"/>
  <c r="H271" i="1" s="1"/>
  <c r="L229" i="1"/>
  <c r="G660" i="1" s="1"/>
  <c r="D14" i="13"/>
  <c r="C14" i="13" s="1"/>
  <c r="G257" i="1"/>
  <c r="G271" i="1" s="1"/>
  <c r="C18" i="10"/>
  <c r="E8" i="13"/>
  <c r="C8" i="13" s="1"/>
  <c r="C20" i="10"/>
  <c r="C12" i="10"/>
  <c r="D5" i="13"/>
  <c r="C5" i="13" s="1"/>
  <c r="J257" i="1"/>
  <c r="J271" i="1" s="1"/>
  <c r="C109" i="2"/>
  <c r="A31" i="12"/>
  <c r="E13" i="13"/>
  <c r="C13" i="13" s="1"/>
  <c r="D12" i="13"/>
  <c r="C12" i="13" s="1"/>
  <c r="L211" i="1"/>
  <c r="D15" i="13"/>
  <c r="C15" i="13" s="1"/>
  <c r="H647" i="1"/>
  <c r="C111" i="2"/>
  <c r="E103" i="2"/>
  <c r="F192" i="1"/>
  <c r="D91" i="2"/>
  <c r="C91" i="2"/>
  <c r="H112" i="1"/>
  <c r="F112" i="1"/>
  <c r="C62" i="2"/>
  <c r="G112" i="1"/>
  <c r="C56" i="2"/>
  <c r="I112" i="1"/>
  <c r="J617" i="1"/>
  <c r="H52" i="1"/>
  <c r="H619" i="1" s="1"/>
  <c r="J619" i="1" s="1"/>
  <c r="I52" i="1"/>
  <c r="D18" i="2"/>
  <c r="F18" i="2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G169" i="1"/>
  <c r="G140" i="1"/>
  <c r="F140" i="1"/>
  <c r="J618" i="1"/>
  <c r="G42" i="2"/>
  <c r="J51" i="1"/>
  <c r="G16" i="2"/>
  <c r="G18" i="2" s="1"/>
  <c r="J19" i="1"/>
  <c r="F545" i="1"/>
  <c r="H434" i="1"/>
  <c r="D103" i="2"/>
  <c r="I140" i="1"/>
  <c r="A22" i="12"/>
  <c r="G50" i="2"/>
  <c r="J652" i="1"/>
  <c r="G571" i="1"/>
  <c r="I434" i="1"/>
  <c r="G434" i="1"/>
  <c r="I663" i="1"/>
  <c r="L571" i="1" l="1"/>
  <c r="H625" i="1"/>
  <c r="J625" i="1" s="1"/>
  <c r="H622" i="1"/>
  <c r="J622" i="1" s="1"/>
  <c r="H624" i="1"/>
  <c r="J624" i="1" s="1"/>
  <c r="H626" i="1"/>
  <c r="H33" i="13"/>
  <c r="F660" i="1"/>
  <c r="F664" i="1" s="1"/>
  <c r="F672" i="1" s="1"/>
  <c r="C4" i="10" s="1"/>
  <c r="E128" i="2"/>
  <c r="L257" i="1"/>
  <c r="L271" i="1" s="1"/>
  <c r="C81" i="2"/>
  <c r="G621" i="1"/>
  <c r="J647" i="1"/>
  <c r="K552" i="1"/>
  <c r="C39" i="10"/>
  <c r="H620" i="1"/>
  <c r="J620" i="1" s="1"/>
  <c r="I662" i="1"/>
  <c r="H660" i="1"/>
  <c r="H664" i="1" s="1"/>
  <c r="H667" i="1" s="1"/>
  <c r="I661" i="1"/>
  <c r="J645" i="1"/>
  <c r="I461" i="1"/>
  <c r="H642" i="1" s="1"/>
  <c r="J642" i="1" s="1"/>
  <c r="G635" i="1"/>
  <c r="J635" i="1" s="1"/>
  <c r="C141" i="2"/>
  <c r="C144" i="2" s="1"/>
  <c r="C128" i="2"/>
  <c r="L338" i="1"/>
  <c r="L352" i="1" s="1"/>
  <c r="L545" i="1"/>
  <c r="I193" i="1"/>
  <c r="H193" i="1"/>
  <c r="D104" i="2"/>
  <c r="C63" i="2"/>
  <c r="G643" i="1"/>
  <c r="J643" i="1" s="1"/>
  <c r="J60" i="1"/>
  <c r="G51" i="2"/>
  <c r="L408" i="1"/>
  <c r="G637" i="1" s="1"/>
  <c r="J637" i="1" s="1"/>
  <c r="E115" i="2"/>
  <c r="E145" i="2" s="1"/>
  <c r="H648" i="1"/>
  <c r="J648" i="1" s="1"/>
  <c r="D31" i="13"/>
  <c r="C31" i="13" s="1"/>
  <c r="C28" i="10"/>
  <c r="D23" i="10" s="1"/>
  <c r="G664" i="1"/>
  <c r="G667" i="1" s="1"/>
  <c r="C115" i="2"/>
  <c r="E33" i="13"/>
  <c r="D35" i="13" s="1"/>
  <c r="F104" i="2"/>
  <c r="E104" i="2"/>
  <c r="F193" i="1"/>
  <c r="F51" i="2"/>
  <c r="C51" i="2"/>
  <c r="G193" i="1"/>
  <c r="G626" i="1"/>
  <c r="J626" i="1" s="1"/>
  <c r="J52" i="1"/>
  <c r="C38" i="10"/>
  <c r="I660" i="1" l="1"/>
  <c r="G632" i="1"/>
  <c r="J632" i="1" s="1"/>
  <c r="C145" i="2"/>
  <c r="C104" i="2"/>
  <c r="G630" i="1"/>
  <c r="J630" i="1" s="1"/>
  <c r="G628" i="1"/>
  <c r="J628" i="1" s="1"/>
  <c r="I664" i="1"/>
  <c r="I672" i="1" s="1"/>
  <c r="C7" i="10" s="1"/>
  <c r="G627" i="1"/>
  <c r="J627" i="1" s="1"/>
  <c r="G633" i="1"/>
  <c r="J633" i="1" s="1"/>
  <c r="H621" i="1"/>
  <c r="J621" i="1" s="1"/>
  <c r="G629" i="1"/>
  <c r="J629" i="1" s="1"/>
  <c r="H646" i="1"/>
  <c r="G56" i="2"/>
  <c r="G63" i="2" s="1"/>
  <c r="G104" i="2" s="1"/>
  <c r="J112" i="1"/>
  <c r="C35" i="10"/>
  <c r="F667" i="1"/>
  <c r="H672" i="1"/>
  <c r="C6" i="10" s="1"/>
  <c r="D12" i="10"/>
  <c r="D13" i="10"/>
  <c r="D18" i="10"/>
  <c r="D21" i="10"/>
  <c r="D11" i="10"/>
  <c r="D24" i="10"/>
  <c r="D27" i="10"/>
  <c r="D17" i="10"/>
  <c r="G672" i="1"/>
  <c r="C5" i="10" s="1"/>
  <c r="D33" i="13"/>
  <c r="D36" i="13" s="1"/>
  <c r="D22" i="10"/>
  <c r="D10" i="10"/>
  <c r="D26" i="10"/>
  <c r="C30" i="10"/>
  <c r="D16" i="10"/>
  <c r="D20" i="10"/>
  <c r="D15" i="10"/>
  <c r="D25" i="10"/>
  <c r="D19" i="10"/>
  <c r="I667" i="1" l="1"/>
  <c r="J193" i="1"/>
  <c r="C36" i="10"/>
  <c r="C41" i="10" s="1"/>
  <c r="D38" i="10" s="1"/>
  <c r="D28" i="10"/>
  <c r="G646" i="1" l="1"/>
  <c r="J646" i="1" s="1"/>
  <c r="G631" i="1"/>
  <c r="D39" i="10"/>
  <c r="D37" i="10"/>
  <c r="D40" i="10"/>
  <c r="D35" i="10"/>
  <c r="D36" i="10"/>
  <c r="D41" i="10" l="1"/>
  <c r="J631" i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<sst xmlns="http://schemas.openxmlformats.org/spreadsheetml/2006/main" count="3959" uniqueCount="917">
  <si>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</si>
  <si>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</si>
  <si>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</si>
  <si>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</si>
  <si>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</si>
  <si>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</si>
  <si>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</si>
  <si>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</si>
  <si>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</si>
  <si>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</si>
  <si>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</si>
  <si>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</si>
  <si>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</si>
  <si>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</si>
  <si>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</si>
  <si>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</si>
  <si>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</si>
  <si>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</si>
  <si>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</si>
  <si>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</si>
  <si>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</si>
  <si>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</si>
  <si>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</si>
  <si>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</si>
  <si>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</si>
  <si>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</si>
  <si>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</si>
  <si>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</si>
  <si>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</si>
  <si>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</si>
  <si>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</si>
  <si>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</si>
  <si>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</si>
  <si>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</si>
  <si>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</si>
  <si>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</si>
  <si>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</si>
  <si>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</si>
  <si>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</si>
  <si>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</si>
  <si>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</si>
  <si>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</si>
  <si>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</si>
  <si>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</si>
  <si>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</si>
  <si>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</si>
  <si>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</si>
  <si>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</si>
  <si>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</si>
  <si>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</si>
  <si>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</si>
  <si>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</si>
  <si>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</si>
  <si>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</si>
  <si>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</si>
  <si>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</si>
  <si>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</si>
  <si>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</si>
  <si>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</si>
  <si>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</si>
  <si>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</si>
  <si>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</si>
  <si>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</si>
  <si>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</si>
  <si>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</si>
  <si>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</si>
  <si>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</si>
  <si>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</si>
  <si>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</si>
  <si>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</si>
  <si>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</si>
  <si>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</si>
  <si>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</si>
  <si>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</si>
  <si>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</si>
  <si>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</si>
  <si>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</si>
  <si>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</si>
  <si>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</si>
  <si>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</si>
  <si>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</si>
  <si>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</si>
  <si>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</si>
  <si>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</si>
  <si>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</si>
  <si>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</si>
  <si>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</si>
  <si>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</si>
  <si>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</si>
  <si>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</si>
  <si>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</si>
  <si>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</si>
  <si>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</si>
  <si>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</si>
  <si>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</si>
  <si>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</si>
  <si>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</si>
  <si>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</si>
  <si>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</si>
  <si>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</si>
  <si>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</si>
  <si>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</si>
  <si>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</si>
  <si>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</si>
  <si>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</si>
  <si>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</si>
  <si>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</si>
  <si>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</si>
  <si>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</si>
  <si>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</si>
  <si>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</si>
  <si>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</si>
  <si>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</si>
  <si>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</si>
  <si>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</si>
  <si>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</si>
  <si>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</si>
  <si>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</si>
  <si>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</si>
  <si>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</si>
  <si>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</si>
  <si>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</si>
  <si>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</si>
  <si>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</si>
  <si>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</si>
  <si>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</si>
  <si>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</si>
  <si>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</si>
  <si>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</si>
  <si>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</si>
  <si>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</si>
  <si>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</si>
  <si>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</si>
  <si>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</si>
  <si>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</si>
  <si>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</si>
  <si>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</si>
  <si>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</si>
  <si>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</si>
  <si>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</si>
  <si>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</si>
  <si>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</si>
  <si>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</si>
  <si>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</si>
  <si>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</si>
  <si>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</si>
  <si>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</si>
  <si>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</si>
  <si>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</si>
  <si>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</si>
  <si>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</si>
  <si>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</si>
  <si>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</si>
  <si>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</si>
  <si>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</si>
  <si>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</si>
  <si>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</si>
  <si>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</si>
  <si>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</si>
  <si>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</si>
  <si>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</si>
  <si>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</si>
  <si>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</si>
  <si>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</si>
  <si>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</si>
  <si>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</si>
  <si>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</si>
  <si>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</si>
  <si>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</si>
  <si>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</si>
  <si>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</si>
  <si>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</si>
  <si>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</si>
  <si>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</si>
  <si>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</si>
  <si>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</si>
  <si>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</si>
  <si>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</si>
  <si>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</si>
  <si>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</si>
  <si>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</si>
  <si>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</si>
  <si>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</si>
  <si>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</si>
  <si>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</si>
  <si>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</si>
  <si>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</si>
  <si>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</si>
  <si>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</si>
  <si>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</si>
  <si>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</si>
  <si>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</si>
  <si>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</si>
  <si>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</si>
  <si>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</si>
  <si>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</si>
  <si>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</si>
  <si>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</si>
  <si>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</si>
  <si>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</si>
  <si>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</si>
  <si>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</si>
  <si>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</si>
  <si>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</si>
  <si>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</si>
  <si>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</si>
  <si>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</si>
  <si>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</si>
  <si>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</si>
  <si>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</si>
  <si>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</si>
  <si>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</si>
  <si>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</si>
  <si>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</si>
  <si>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</si>
  <si>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</si>
  <si>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</si>
  <si>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</si>
  <si>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</si>
  <si>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</si>
  <si>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</si>
  <si>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</si>
  <si>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</si>
  <si>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</si>
  <si>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</si>
  <si>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</si>
  <si>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</si>
  <si>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</si>
  <si>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</si>
  <si>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</si>
  <si>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</si>
  <si>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</si>
  <si>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</si>
  <si>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</si>
  <si>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</si>
  <si>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</si>
  <si>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</si>
  <si>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</si>
  <si>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</si>
  <si>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</si>
  <si>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</si>
  <si>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</si>
  <si>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</si>
  <si>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</si>
  <si>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</si>
  <si>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</si>
  <si>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</si>
  <si>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</si>
  <si>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</si>
  <si>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</si>
  <si>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</si>
  <si>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</si>
  <si>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</si>
  <si>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</si>
  <si>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</si>
  <si>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</si>
  <si>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</si>
  <si>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</si>
  <si>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</si>
  <si>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</si>
  <si>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</si>
  <si>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</si>
  <si>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</si>
  <si>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</si>
  <si>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</si>
  <si>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</si>
  <si>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</si>
  <si>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</si>
  <si>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</si>
  <si>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</si>
  <si>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</si>
  <si>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</si>
  <si>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</si>
  <si>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</si>
  <si>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</si>
  <si>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</si>
  <si>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</si>
  <si>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</si>
  <si>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</si>
  <si>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</si>
  <si>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</si>
  <si>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</si>
  <si>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</si>
  <si>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</si>
  <si>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</si>
  <si>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</si>
  <si>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</si>
  <si>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</si>
  <si>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</si>
  <si>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</si>
  <si>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</si>
  <si>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</si>
  <si>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</si>
  <si>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</si>
  <si>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</si>
  <si>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</si>
  <si>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</si>
  <si>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</si>
  <si>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</si>
  <si>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</si>
  <si>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</si>
  <si>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</si>
  <si>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</si>
  <si>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</si>
  <si>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</si>
  <si>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</si>
  <si>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</si>
  <si>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</si>
  <si>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</si>
  <si>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</si>
  <si>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</si>
  <si>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</si>
  <si>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</si>
  <si>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</si>
  <si>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</si>
  <si>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</si>
  <si>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</si>
  <si>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</si>
  <si>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</si>
  <si>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</si>
  <si>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</si>
  <si>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</si>
  <si>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</si>
  <si>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</si>
  <si>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</si>
  <si>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</si>
  <si>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</si>
  <si>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</si>
  <si>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</si>
  <si>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</si>
  <si>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</si>
  <si>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</si>
  <si>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</si>
  <si>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</si>
  <si>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</si>
  <si>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</si>
  <si>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</si>
  <si>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</si>
  <si>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</si>
  <si>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</si>
  <si>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</si>
  <si>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</si>
  <si>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</si>
  <si>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</si>
  <si>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</si>
  <si>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</si>
  <si>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</si>
  <si>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</si>
  <si>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</si>
  <si>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</si>
  <si>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</si>
  <si>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</si>
  <si>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</si>
  <si>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</si>
  <si>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</si>
  <si>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</si>
  <si>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</si>
  <si>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</si>
  <si>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</si>
  <si>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</si>
  <si>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</si>
  <si>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</si>
  <si>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</si>
  <si>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</si>
  <si>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</si>
  <si>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</si>
  <si>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</si>
  <si>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</si>
  <si>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</si>
  <si>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</si>
  <si>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</si>
  <si>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</si>
  <si>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</si>
  <si>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</si>
  <si>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</si>
  <si>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</si>
  <si>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</si>
  <si>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</si>
  <si>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</si>
  <si>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</si>
  <si>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</si>
  <si>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</si>
  <si>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</si>
  <si>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</si>
  <si>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</si>
  <si>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</si>
  <si>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</si>
  <si>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</si>
  <si>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</si>
  <si>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</si>
  <si>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</si>
  <si>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</si>
  <si>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</si>
  <si>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</si>
  <si>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</si>
  <si>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</si>
  <si>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</si>
  <si>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</si>
  <si>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</si>
  <si>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</si>
  <si>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</si>
  <si>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</si>
  <si>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</si>
  <si>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</si>
  <si>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</si>
  <si>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</si>
  <si>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</si>
  <si>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</si>
  <si>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</si>
  <si>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</si>
  <si>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</si>
  <si>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</si>
  <si>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</si>
  <si>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</si>
  <si>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</si>
  <si>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</si>
  <si>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</si>
  <si>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</si>
  <si>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</si>
  <si>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</si>
  <si>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</si>
  <si>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</si>
  <si>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</si>
  <si>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</si>
  <si>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</si>
  <si>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</si>
  <si>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</si>
  <si>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</si>
  <si>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</si>
  <si>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</si>
  <si>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</si>
  <si>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</si>
  <si>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</si>
  <si>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</si>
  <si>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</si>
  <si>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</si>
  <si>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</si>
  <si>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</si>
  <si>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</si>
  <si>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</si>
  <si>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</si>
  <si>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</si>
  <si>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</si>
  <si>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</si>
  <si>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</si>
  <si>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</si>
  <si>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</si>
  <si>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</si>
  <si>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</si>
  <si>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</si>
  <si>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</si>
  <si>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</si>
  <si>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</si>
  <si>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</si>
  <si>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</si>
  <si>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</si>
  <si>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</si>
  <si>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</si>
  <si>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</si>
  <si>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</si>
  <si>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</si>
  <si>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</si>
  <si>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</si>
  <si>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</si>
  <si>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</si>
  <si>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</si>
  <si>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</si>
  <si>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</si>
  <si>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</si>
  <si>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</si>
  <si>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</si>
  <si>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</si>
  <si>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</si>
  <si>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</si>
  <si>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</si>
  <si>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</si>
  <si>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</si>
  <si>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</si>
  <si>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</si>
  <si>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</si>
  <si>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</si>
  <si>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</si>
  <si>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</si>
  <si>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</si>
  <si>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</si>
  <si>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</si>
  <si>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</si>
  <si>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</si>
  <si>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</si>
  <si>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</si>
  <si>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</si>
  <si>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</si>
  <si>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</si>
  <si>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</si>
  <si>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</si>
  <si>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</si>
  <si>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</si>
  <si>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</si>
  <si>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</si>
  <si>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</si>
  <si>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</si>
  <si>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</si>
  <si>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</si>
  <si>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</si>
  <si>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</si>
  <si>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</si>
  <si>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</si>
  <si>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</si>
  <si>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</si>
  <si>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</si>
  <si>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</si>
  <si>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</si>
  <si>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</si>
  <si>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</si>
  <si>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</si>
  <si>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</si>
  <si>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</si>
  <si>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</si>
  <si>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</si>
  <si>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</si>
  <si>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</si>
  <si>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</si>
  <si>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</si>
  <si>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</si>
  <si>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</si>
  <si>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</si>
  <si>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</si>
  <si>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</si>
  <si>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</si>
  <si>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</si>
  <si>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</si>
  <si>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</si>
  <si>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</si>
  <si>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</si>
  <si>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</si>
  <si>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</si>
  <si>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</si>
  <si>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</si>
  <si>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</si>
  <si>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</si>
  <si>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</si>
  <si>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</si>
  <si>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</si>
  <si>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</si>
  <si>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</si>
  <si>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</si>
  <si>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</si>
  <si>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</si>
  <si>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</si>
  <si>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</si>
  <si>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</si>
  <si>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</si>
  <si>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</si>
  <si>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</si>
  <si>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</si>
  <si>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</si>
  <si>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</si>
  <si>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</si>
  <si>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</si>
  <si>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</si>
  <si>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</si>
  <si>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</si>
  <si>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</si>
  <si>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</si>
  <si>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</si>
  <si>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</si>
  <si>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</si>
  <si>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</si>
  <si>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</si>
  <si>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</si>
  <si>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</si>
  <si>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</si>
  <si>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</si>
  <si>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</si>
  <si>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</si>
  <si>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</si>
  <si>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</si>
  <si>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</si>
  <si>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</si>
  <si>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</si>
  <si>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</si>
  <si>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</si>
  <si>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</si>
  <si>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</si>
  <si>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</si>
  <si>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</si>
  <si>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</si>
  <si>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</si>
  <si>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</si>
  <si>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</si>
  <si>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</si>
  <si>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</si>
  <si>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</si>
  <si>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</si>
  <si>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</si>
  <si>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</si>
  <si>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</si>
  <si>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</si>
  <si>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</si>
  <si>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</si>
  <si>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</si>
  <si>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</si>
  <si>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</si>
  <si>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</si>
  <si>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</si>
  <si>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</si>
  <si>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</si>
  <si>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</si>
  <si>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</si>
  <si>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</si>
  <si>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</si>
  <si>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</si>
  <si>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</si>
  <si>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</si>
  <si>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</si>
  <si>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</si>
  <si>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</si>
  <si>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</si>
  <si>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</si>
  <si>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</si>
  <si>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</si>
  <si>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</si>
  <si>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</si>
  <si>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</si>
  <si>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</si>
  <si>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</si>
  <si>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</si>
  <si>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</si>
  <si>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</si>
  <si>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</si>
  <si>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</si>
  <si>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</si>
  <si>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</si>
  <si>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</si>
  <si>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</si>
  <si>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</si>
  <si>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</si>
  <si>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</si>
  <si>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</si>
  <si>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</si>
  <si>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</si>
  <si>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</si>
  <si>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</si>
  <si>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</si>
  <si>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</si>
  <si>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</si>
  <si>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</si>
  <si>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</si>
  <si>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</si>
  <si>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</si>
  <si>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</si>
  <si>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</si>
  <si>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</si>
  <si>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</si>
  <si>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</si>
  <si>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</si>
  <si>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</si>
  <si>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</si>
  <si>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</si>
  <si>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</si>
  <si>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</si>
  <si>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</si>
  <si>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</si>
  <si>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</si>
  <si>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</si>
  <si>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</si>
  <si>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</si>
  <si>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</si>
  <si>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</si>
  <si>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</si>
  <si>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</si>
  <si>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</si>
  <si>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</si>
  <si>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</si>
  <si>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</si>
  <si>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</si>
  <si>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</si>
  <si>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</si>
  <si>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</si>
  <si>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</si>
  <si>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</si>
  <si>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</si>
  <si>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</si>
  <si>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</si>
  <si>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</si>
  <si>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</si>
  <si>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</si>
  <si>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</si>
  <si>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</si>
  <si>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</si>
  <si>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</si>
  <si>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</si>
  <si>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</si>
  <si>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</si>
  <si>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</si>
  <si>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</si>
  <si>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</si>
  <si>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</si>
  <si>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</si>
  <si>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</si>
  <si>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</si>
  <si>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</si>
  <si>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</si>
  <si>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</si>
  <si>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</si>
  <si>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</si>
  <si>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</si>
  <si>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</si>
  <si>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</si>
  <si>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</si>
  <si>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</si>
  <si>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</si>
  <si>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</si>
  <si>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</si>
  <si>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</si>
  <si>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</si>
  <si>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</si>
  <si>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</si>
  <si>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</si>
  <si>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</si>
  <si>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</si>
  <si>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</si>
  <si>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</si>
  <si>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</si>
  <si>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</si>
  <si>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</si>
  <si>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</si>
  <si>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</si>
  <si>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</si>
  <si>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</si>
  <si>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</si>
  <si>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</si>
  <si>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</si>
  <si>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</si>
  <si>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</si>
  <si>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</si>
  <si>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</si>
  <si>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</si>
  <si>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</si>
  <si>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</si>
  <si>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</si>
  <si>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</si>
  <si>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</si>
  <si>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</si>
  <si>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</si>
  <si>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</si>
  <si>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</si>
  <si>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</si>
  <si>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</si>
  <si>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</si>
  <si>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</si>
  <si>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</si>
  <si>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</si>
  <si>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</si>
  <si>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</si>
  <si>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</si>
  <si>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</si>
  <si>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</si>
  <si>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</si>
  <si>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</si>
  <si>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</si>
  <si>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</si>
  <si>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</si>
  <si>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</si>
  <si>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</si>
  <si>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</si>
  <si>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</si>
  <si>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</si>
  <si>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</si>
  <si>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</si>
  <si>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</si>
  <si>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</si>
  <si>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</si>
  <si>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</si>
  <si>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</si>
  <si>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</si>
  <si>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</si>
  <si>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</si>
  <si>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</si>
  <si>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</si>
  <si>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</si>
  <si>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</si>
  <si>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</si>
  <si>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</si>
  <si>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</si>
  <si>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</si>
  <si>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</si>
  <si>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</si>
  <si>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</si>
  <si>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</si>
  <si>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</si>
  <si>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</si>
  <si>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</si>
  <si>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</si>
  <si>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</si>
  <si>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</si>
  <si>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</si>
  <si>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</si>
  <si>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</si>
  <si>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</si>
  <si>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</si>
  <si>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</si>
  <si>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</si>
  <si>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</si>
  <si>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</si>
  <si>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</si>
  <si>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</si>
  <si>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</si>
  <si>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</si>
  <si>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</si>
  <si>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</si>
  <si>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</si>
  <si>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</si>
  <si>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</si>
  <si>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</si>
  <si>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</si>
  <si>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</si>
  <si>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</si>
  <si>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</si>
  <si>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</si>
  <si>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</si>
  <si>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</si>
  <si>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</si>
  <si>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</si>
  <si>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</si>
  <si>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</si>
  <si>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</si>
  <si>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</si>
  <si>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</si>
  <si>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</si>
  <si>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</si>
  <si>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</si>
  <si>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</si>
  <si>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</si>
  <si>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</si>
  <si>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</si>
  <si>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</si>
  <si>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</si>
  <si>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</si>
  <si>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</si>
  <si>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</si>
  <si>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</si>
  <si>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</si>
  <si>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</si>
  <si>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</si>
  <si>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</si>
  <si>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</si>
  <si>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</si>
  <si>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</si>
  <si>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</si>
  <si>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</si>
  <si>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</si>
  <si>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</si>
  <si>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</si>
  <si>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</si>
  <si>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</si>
  <si>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</si>
  <si>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</si>
  <si>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</si>
  <si>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</si>
  <si>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</si>
  <si>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</si>
  <si>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</si>
  <si>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</si>
  <si>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</si>
  <si>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</si>
  <si>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</si>
  <si>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</si>
  <si>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</si>
  <si>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</si>
  <si>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</si>
  <si>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</si>
  <si>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</si>
  <si>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</si>
  <si>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</si>
  <si>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</si>
  <si>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</si>
  <si>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</si>
  <si>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</si>
  <si>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</si>
  <si>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</si>
  <si>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</si>
  <si>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</si>
  <si>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</si>
  <si>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</si>
  <si>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</si>
  <si>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</si>
  <si>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</si>
  <si>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</si>
  <si>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</si>
  <si>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</si>
  <si>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</si>
  <si>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</si>
  <si>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</si>
  <si>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</si>
  <si>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</si>
  <si>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</si>
  <si>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</si>
  <si>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</si>
  <si>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</si>
  <si>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</si>
  <si>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</si>
  <si>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</si>
  <si>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</si>
  <si>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</si>
  <si>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</si>
  <si>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</si>
  <si>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</si>
  <si>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</si>
  <si>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</si>
  <si>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</si>
  <si>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Littleton School District - SAU 84</t>
  </si>
  <si>
    <t>08/02</t>
  </si>
  <si>
    <t>06/10</t>
  </si>
  <si>
    <t>08/22</t>
  </si>
  <si>
    <t>03/27</t>
  </si>
  <si>
    <t>before Fed 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</si>
</sst>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4" t="s">
        <v>911</v>
      </c>
      <c r="B2" s="21">
        <v>317</v>
      </c>
      <c r="C2" s="21">
        <v>317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281</v>
      </c>
      <c r="G6" s="223" t="s">
        <v>282</v>
      </c>
      <c r="H6" s="223" t="s">
        <v>283</v>
      </c>
      <c r="I6" s="223" t="s">
        <v>284</v>
      </c>
      <c r="J6" s="223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3"/>
      <c r="G7" s="224"/>
      <c r="H7" s="223" t="s">
        <v>772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1278636.3600000001</v>
      </c>
      <c r="G9" s="18">
        <v>0</v>
      </c>
      <c r="H9" s="18">
        <v>0</v>
      </c>
      <c r="I9" s="18">
        <v>12677.01</v>
      </c>
      <c r="J9" s="67">
        <f>SUM(I439)</f>
        <v>0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692001.7699999999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127543.87000000002</v>
      </c>
      <c r="G12" s="18">
        <v>-10411.67</v>
      </c>
      <c r="H12" s="18">
        <v>-185099.64</v>
      </c>
      <c r="I12" s="18">
        <v>7649.1100000000006</v>
      </c>
      <c r="J12" s="67">
        <f>SUM(I441)</f>
        <v>90000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8763.9699999999993</v>
      </c>
      <c r="G13" s="18">
        <v>21740.94</v>
      </c>
      <c r="H13" s="18">
        <v>184297.08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89356.74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2056.15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1504300.9400000002</v>
      </c>
      <c r="G19" s="41">
        <f>SUM(G9:G18)</f>
        <v>13385.419999999998</v>
      </c>
      <c r="H19" s="41">
        <f>SUM(H9:H18)</f>
        <v>-802.56000000002678</v>
      </c>
      <c r="I19" s="41">
        <f>SUM(I9:I18)</f>
        <v>20326.120000000003</v>
      </c>
      <c r="J19" s="41">
        <f>SUM(J9:J18)</f>
        <v>782001.7699999999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7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5000.1099999999997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107188.77</v>
      </c>
      <c r="G24" s="18">
        <v>0</v>
      </c>
      <c r="H24" s="18">
        <v>1288.71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146671.41</v>
      </c>
      <c r="G29" s="18">
        <v>5918.49</v>
      </c>
      <c r="H29" s="18">
        <v>-2091.29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3291.97</v>
      </c>
      <c r="G30" s="18">
        <v>1131.8</v>
      </c>
      <c r="H30" s="18">
        <v>0.02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262152.26</v>
      </c>
      <c r="G32" s="41">
        <f>SUM(G22:G31)</f>
        <v>7050.29</v>
      </c>
      <c r="H32" s="41">
        <f>SUM(H22:H31)</f>
        <v>-802.56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2056.15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1637.17</v>
      </c>
      <c r="G43" s="18">
        <v>0</v>
      </c>
      <c r="H43" s="18">
        <v>0</v>
      </c>
      <c r="I43" s="18">
        <v>12676.86</v>
      </c>
      <c r="J43" s="13">
        <f>SUM(I456)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202500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245787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69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4278.9799999999996</v>
      </c>
      <c r="H48" s="18">
        <v>0</v>
      </c>
      <c r="I48" s="18">
        <v>0</v>
      </c>
      <c r="J48" s="13">
        <f>SUM(I459)</f>
        <v>782001.7699999999</v>
      </c>
      <c r="K48" s="24" t="s">
        <v>289</v>
      </c>
      <c r="L48" s="24" t="s">
        <v>289</v>
      </c>
      <c r="M48" s="8"/>
      <c r="N48" s="269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139557.87</v>
      </c>
      <c r="G49" s="18">
        <v>0</v>
      </c>
      <c r="H49" s="18">
        <v>0</v>
      </c>
      <c r="I49" s="18">
        <v>7649.26</v>
      </c>
      <c r="J49" s="13">
        <f>I454</f>
        <v>0</v>
      </c>
      <c r="K49" s="24"/>
      <c r="L49" s="24"/>
      <c r="M49" s="8"/>
      <c r="N49" s="269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652666.64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69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1242148.6800000002</v>
      </c>
      <c r="G51" s="41">
        <f>SUM(G35:G50)</f>
        <v>6335.1299999999992</v>
      </c>
      <c r="H51" s="41">
        <f>SUM(H35:H50)</f>
        <v>0</v>
      </c>
      <c r="I51" s="41">
        <f>SUM(I35:I50)</f>
        <v>20326.120000000003</v>
      </c>
      <c r="J51" s="41">
        <f>SUM(J35:J50)</f>
        <v>782001.7699999999</v>
      </c>
      <c r="K51" s="45" t="s">
        <v>289</v>
      </c>
      <c r="L51" s="45" t="s">
        <v>289</v>
      </c>
      <c r="N51" s="267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1504300.9400000002</v>
      </c>
      <c r="G52" s="41">
        <f>G51+G32</f>
        <v>13385.419999999998</v>
      </c>
      <c r="H52" s="41">
        <f>H51+H32</f>
        <v>-802.56</v>
      </c>
      <c r="I52" s="41">
        <f>I51+I32</f>
        <v>20326.120000000003</v>
      </c>
      <c r="J52" s="41">
        <f>J51+J32</f>
        <v>782001.7699999999</v>
      </c>
      <c r="K52" s="45" t="s">
        <v>289</v>
      </c>
      <c r="L52" s="45" t="s">
        <v>289</v>
      </c>
      <c r="M52" s="8"/>
      <c r="N52" s="269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69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69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69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8588104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69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69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 t="str">
        <f t="shared" ref="I59" si="0">I50</f>
        <v>............</v>
      </c>
      <c r="J59" s="18">
        <v>0</v>
      </c>
      <c r="K59" s="24" t="s">
        <v>289</v>
      </c>
      <c r="L59" s="24" t="s">
        <v>289</v>
      </c>
      <c r="M59" s="31"/>
      <c r="N59" s="270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8588104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0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69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0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83140.05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127148.29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69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67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210288.34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69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69"/>
    </row>
    <row r="81" spans="1:14" s="3" customFormat="1" ht="12" customHeight="1" x14ac:dyDescent="0.2">
      <c r="A81" s="168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69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69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69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69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1108.08</v>
      </c>
      <c r="G96" s="18">
        <v>0</v>
      </c>
      <c r="H96" s="18">
        <v>0</v>
      </c>
      <c r="I96" s="18">
        <v>0</v>
      </c>
      <c r="J96" s="18">
        <v>459.46999999999997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149142.29999999999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2046.5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69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330380.71999999997</v>
      </c>
      <c r="G110" s="18">
        <v>14075.4</v>
      </c>
      <c r="H110" s="18">
        <v>0</v>
      </c>
      <c r="I110" s="18">
        <v>0</v>
      </c>
      <c r="J110" s="18">
        <v>13408.43</v>
      </c>
      <c r="K110" s="24" t="s">
        <v>289</v>
      </c>
      <c r="L110" s="24" t="s">
        <v>289</v>
      </c>
      <c r="M110" s="8"/>
      <c r="N110" s="269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333535.3</v>
      </c>
      <c r="G111" s="41">
        <f>SUM(G96:G110)</f>
        <v>163217.69999999998</v>
      </c>
      <c r="H111" s="41">
        <f>SUM(H96:H110)</f>
        <v>0</v>
      </c>
      <c r="I111" s="41">
        <f>SUM(I96:I110)</f>
        <v>0</v>
      </c>
      <c r="J111" s="41">
        <f>SUM(J96:J110)</f>
        <v>13867.9</v>
      </c>
      <c r="K111" s="45" t="s">
        <v>289</v>
      </c>
      <c r="L111" s="45" t="s">
        <v>289</v>
      </c>
      <c r="N111" s="267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9131927.6400000006</v>
      </c>
      <c r="G112" s="41">
        <f>G60+G111</f>
        <v>163217.69999999998</v>
      </c>
      <c r="H112" s="41">
        <f>H60+H79+H94+H111</f>
        <v>0</v>
      </c>
      <c r="I112" s="41">
        <f>I60+I111</f>
        <v>0</v>
      </c>
      <c r="J112" s="41">
        <f>J60+J111</f>
        <v>13867.9</v>
      </c>
      <c r="K112" s="45" t="s">
        <v>289</v>
      </c>
      <c r="L112" s="45" t="s">
        <v>289</v>
      </c>
      <c r="M112" s="8"/>
      <c r="N112" s="269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69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69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69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3693351.64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1243364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69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4936715.6400000006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69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220141.2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69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69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0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192480.23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5874.4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4595.3599999999997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69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69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20014.13</v>
      </c>
      <c r="H135" s="18">
        <v>0</v>
      </c>
      <c r="I135" s="18">
        <v>0</v>
      </c>
      <c r="J135" s="18">
        <v>40225.29</v>
      </c>
      <c r="K135" s="24" t="s">
        <v>289</v>
      </c>
      <c r="L135" s="24" t="s">
        <v>289</v>
      </c>
      <c r="M135" s="8"/>
      <c r="N135" s="269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418495.83000000007</v>
      </c>
      <c r="G136" s="41">
        <f>SUM(G123:G135)</f>
        <v>24609.49</v>
      </c>
      <c r="H136" s="41">
        <f>SUM(H123:H135)</f>
        <v>0</v>
      </c>
      <c r="I136" s="41">
        <f>SUM(I123:I135)</f>
        <v>0</v>
      </c>
      <c r="J136" s="41">
        <f>SUM(J123:J135)</f>
        <v>40225.29</v>
      </c>
      <c r="K136" s="45" t="s">
        <v>289</v>
      </c>
      <c r="L136" s="45" t="s">
        <v>289</v>
      </c>
      <c r="M136" s="8"/>
      <c r="N136" s="269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69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5355211.4700000007</v>
      </c>
      <c r="G140" s="41">
        <f>G121+SUM(G136:G137)</f>
        <v>24609.49</v>
      </c>
      <c r="H140" s="41">
        <f>H121+SUM(H136:H139)</f>
        <v>0</v>
      </c>
      <c r="I140" s="41">
        <f>I121+I136</f>
        <v>0</v>
      </c>
      <c r="J140" s="41">
        <f>J121+J136</f>
        <v>40225.29</v>
      </c>
      <c r="K140" s="45" t="s">
        <v>289</v>
      </c>
      <c r="L140" s="45" t="s">
        <v>289</v>
      </c>
      <c r="M140" s="8"/>
      <c r="N140" s="269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69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69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2" t="s">
        <v>772</v>
      </c>
      <c r="I143" s="16" t="s">
        <v>284</v>
      </c>
      <c r="J143" s="16" t="s">
        <v>285</v>
      </c>
      <c r="K143" s="20"/>
      <c r="L143" s="20"/>
      <c r="M143" s="8"/>
      <c r="N143" s="269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162478.31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69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162478.31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69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332665.42000000004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65548.97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29094.260000000002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161806.71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183112.77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125097.15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69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125097.15</v>
      </c>
      <c r="G162" s="41">
        <f>SUM(G150:G161)</f>
        <v>161806.71</v>
      </c>
      <c r="H162" s="41">
        <f>SUM(H150:H161)</f>
        <v>610421.42000000004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69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1715.76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69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289291.21999999997</v>
      </c>
      <c r="G169" s="41">
        <f>G147+G162+SUM(G163:G168)</f>
        <v>161806.71</v>
      </c>
      <c r="H169" s="41">
        <f>H147+H162+SUM(H163:H168)</f>
        <v>610421.42000000004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69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69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69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2" t="s">
        <v>772</v>
      </c>
      <c r="I172" s="16" t="s">
        <v>284</v>
      </c>
      <c r="J172" s="16" t="s">
        <v>285</v>
      </c>
      <c r="K172" s="20"/>
      <c r="L172" s="20"/>
      <c r="M172" s="8"/>
      <c r="N172" s="269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69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69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104173.29</v>
      </c>
      <c r="H179" s="18">
        <v>0</v>
      </c>
      <c r="I179" s="18">
        <v>7649.26</v>
      </c>
      <c r="J179" s="18">
        <v>90000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69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69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69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104173.29</v>
      </c>
      <c r="H183" s="41">
        <f>SUM(H179:H182)</f>
        <v>0</v>
      </c>
      <c r="I183" s="41">
        <f>SUM(I179:I182)</f>
        <v>7649.26</v>
      </c>
      <c r="J183" s="41">
        <f>SUM(J179:J182)</f>
        <v>90000</v>
      </c>
      <c r="K183" s="45" t="s">
        <v>289</v>
      </c>
      <c r="L183" s="45" t="s">
        <v>289</v>
      </c>
      <c r="M183" s="8"/>
      <c r="N183" s="269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69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67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7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69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4" t="s">
        <v>431</v>
      </c>
      <c r="E192" s="51">
        <v>5000</v>
      </c>
      <c r="F192" s="41">
        <f>F177+F183+SUM(F188:F191)</f>
        <v>0</v>
      </c>
      <c r="G192" s="41">
        <f>G183+SUM(G188:G191)</f>
        <v>104173.29</v>
      </c>
      <c r="H192" s="41">
        <f>+H183+SUM(H188:H191)</f>
        <v>0</v>
      </c>
      <c r="I192" s="41">
        <f>I177+I183+SUM(I188:I191)</f>
        <v>7649.26</v>
      </c>
      <c r="J192" s="41">
        <f>J183</f>
        <v>90000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5" t="s">
        <v>431</v>
      </c>
      <c r="E193" s="44"/>
      <c r="F193" s="47">
        <f>F112+F140+F169+F192</f>
        <v>14776430.330000002</v>
      </c>
      <c r="G193" s="47">
        <f>G112+G140+G169+G192</f>
        <v>453807.18999999994</v>
      </c>
      <c r="H193" s="47">
        <f>H112+H140+H169+H192</f>
        <v>610421.42000000004</v>
      </c>
      <c r="I193" s="47">
        <f>I112+I140+I169+I192</f>
        <v>7649.26</v>
      </c>
      <c r="J193" s="47">
        <f>J112+J140+J192</f>
        <v>144093.19</v>
      </c>
      <c r="K193" s="45" t="s">
        <v>289</v>
      </c>
      <c r="L193" s="45" t="s">
        <v>289</v>
      </c>
      <c r="M193" s="8"/>
      <c r="N193" s="269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5" t="s">
        <v>693</v>
      </c>
      <c r="G194" s="175" t="s">
        <v>694</v>
      </c>
      <c r="H194" s="175" t="s">
        <v>695</v>
      </c>
      <c r="I194" s="175" t="s">
        <v>696</v>
      </c>
      <c r="J194" s="175" t="s">
        <v>697</v>
      </c>
      <c r="K194" s="175" t="s">
        <v>698</v>
      </c>
      <c r="L194" s="56"/>
      <c r="M194" s="8"/>
      <c r="N194" s="269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69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69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1771105.8900000001</v>
      </c>
      <c r="G197" s="18">
        <v>885777.4600000002</v>
      </c>
      <c r="H197" s="18">
        <v>7072.75</v>
      </c>
      <c r="I197" s="18">
        <v>59662.580000000016</v>
      </c>
      <c r="J197" s="18">
        <v>11503.069999999996</v>
      </c>
      <c r="K197" s="18">
        <v>0</v>
      </c>
      <c r="L197" s="19">
        <f>SUM(F197:K197)</f>
        <v>2735121.7500000005</v>
      </c>
      <c r="M197" s="8"/>
      <c r="N197" s="269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744420.64</v>
      </c>
      <c r="G198" s="18">
        <v>494976.07000000012</v>
      </c>
      <c r="H198" s="18">
        <v>57938.42</v>
      </c>
      <c r="I198" s="18">
        <v>2981.91</v>
      </c>
      <c r="J198" s="18">
        <v>116.36</v>
      </c>
      <c r="K198" s="18">
        <v>140</v>
      </c>
      <c r="L198" s="19">
        <f>SUM(F198:K198)</f>
        <v>1300573.4000000001</v>
      </c>
      <c r="M198" s="8"/>
      <c r="N198" s="269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9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1469</v>
      </c>
      <c r="G200" s="18">
        <v>320.39</v>
      </c>
      <c r="H200" s="18">
        <v>0</v>
      </c>
      <c r="I200" s="18">
        <v>1397.87</v>
      </c>
      <c r="J200" s="18">
        <v>0</v>
      </c>
      <c r="K200" s="18">
        <v>0</v>
      </c>
      <c r="L200" s="19">
        <f>SUM(F200:K200)</f>
        <v>3187.2599999999998</v>
      </c>
      <c r="M200" s="8"/>
      <c r="N200" s="269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69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307386.88999999996</v>
      </c>
      <c r="G202" s="18">
        <v>121945.33999999997</v>
      </c>
      <c r="H202" s="18">
        <v>30610</v>
      </c>
      <c r="I202" s="18">
        <v>4924.1699999999992</v>
      </c>
      <c r="J202" s="18">
        <v>1314</v>
      </c>
      <c r="K202" s="18">
        <v>1328.48</v>
      </c>
      <c r="L202" s="19">
        <f t="shared" ref="L202:L208" si="1">SUM(F202:K202)</f>
        <v>467508.87999999989</v>
      </c>
      <c r="M202" s="8"/>
      <c r="N202" s="269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73075.8</v>
      </c>
      <c r="G203" s="18">
        <v>36482.65</v>
      </c>
      <c r="H203" s="18">
        <v>591.29999999999995</v>
      </c>
      <c r="I203" s="18">
        <v>48921.409999999996</v>
      </c>
      <c r="J203" s="18">
        <v>492.9</v>
      </c>
      <c r="K203" s="18">
        <v>8985.35</v>
      </c>
      <c r="L203" s="19">
        <f t="shared" si="1"/>
        <v>168549.41</v>
      </c>
      <c r="M203" s="8"/>
      <c r="N203" s="269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145384.70000000001</v>
      </c>
      <c r="G204" s="18">
        <v>55832.689999999995</v>
      </c>
      <c r="H204" s="18">
        <v>85446.28</v>
      </c>
      <c r="I204" s="18">
        <v>8052.37</v>
      </c>
      <c r="J204" s="18">
        <v>347.47</v>
      </c>
      <c r="K204" s="18">
        <v>11878.650000000001</v>
      </c>
      <c r="L204" s="19">
        <f t="shared" si="1"/>
        <v>306942.16000000003</v>
      </c>
      <c r="M204" s="8"/>
      <c r="N204" s="269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253831.17</v>
      </c>
      <c r="G205" s="18">
        <v>109427.1</v>
      </c>
      <c r="H205" s="18">
        <v>6237.35</v>
      </c>
      <c r="I205" s="18">
        <v>17802.919999999998</v>
      </c>
      <c r="J205" s="18">
        <v>2320.89</v>
      </c>
      <c r="K205" s="18">
        <v>6324.57</v>
      </c>
      <c r="L205" s="19">
        <f t="shared" si="1"/>
        <v>395944</v>
      </c>
      <c r="M205" s="8"/>
      <c r="N205" s="269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66234.240000000005</v>
      </c>
      <c r="G206" s="18">
        <v>27177.160000000003</v>
      </c>
      <c r="H206" s="18">
        <v>4367.87</v>
      </c>
      <c r="I206" s="18">
        <v>532.73</v>
      </c>
      <c r="J206" s="18">
        <v>422.43</v>
      </c>
      <c r="K206" s="18">
        <v>222</v>
      </c>
      <c r="L206" s="19">
        <f t="shared" si="1"/>
        <v>98956.43</v>
      </c>
      <c r="M206" s="8"/>
      <c r="N206" s="269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135263.13999999998</v>
      </c>
      <c r="G207" s="18">
        <v>74826.989999999991</v>
      </c>
      <c r="H207" s="18">
        <v>87258.939999999988</v>
      </c>
      <c r="I207" s="18">
        <v>131438.31</v>
      </c>
      <c r="J207" s="18">
        <v>90222.420000000013</v>
      </c>
      <c r="K207" s="18">
        <v>584.5</v>
      </c>
      <c r="L207" s="19">
        <f t="shared" si="1"/>
        <v>519594.29999999993</v>
      </c>
      <c r="M207" s="8"/>
      <c r="N207" s="269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21146.31</v>
      </c>
      <c r="G208" s="18">
        <v>14875.460000000003</v>
      </c>
      <c r="H208" s="18">
        <v>128323.07999999999</v>
      </c>
      <c r="I208" s="18">
        <v>4287.17</v>
      </c>
      <c r="J208" s="18">
        <v>0</v>
      </c>
      <c r="K208" s="18">
        <v>0</v>
      </c>
      <c r="L208" s="19">
        <f t="shared" si="1"/>
        <v>168632.02</v>
      </c>
      <c r="M208" s="8"/>
      <c r="N208" s="269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56578.7</v>
      </c>
      <c r="G209" s="18">
        <v>18319.73</v>
      </c>
      <c r="H209" s="18">
        <v>83233.540000000008</v>
      </c>
      <c r="I209" s="18">
        <v>7117.41</v>
      </c>
      <c r="J209" s="18">
        <v>40206.29</v>
      </c>
      <c r="K209" s="18">
        <v>0</v>
      </c>
      <c r="L209" s="19">
        <f>SUM(F209:K209)</f>
        <v>205455.67</v>
      </c>
      <c r="M209" s="8"/>
      <c r="N209" s="269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69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2">SUM(F197:F210)</f>
        <v>3575896.4800000009</v>
      </c>
      <c r="G211" s="41">
        <f t="shared" si="2"/>
        <v>1839961.04</v>
      </c>
      <c r="H211" s="41">
        <f t="shared" si="2"/>
        <v>491079.53</v>
      </c>
      <c r="I211" s="41">
        <f t="shared" si="2"/>
        <v>287118.84999999998</v>
      </c>
      <c r="J211" s="41">
        <f t="shared" si="2"/>
        <v>146945.83000000002</v>
      </c>
      <c r="K211" s="41">
        <f t="shared" si="2"/>
        <v>29463.550000000003</v>
      </c>
      <c r="L211" s="41">
        <f t="shared" si="2"/>
        <v>6370465.2799999993</v>
      </c>
      <c r="M211" s="8"/>
      <c r="N211" s="269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5" t="s">
        <v>693</v>
      </c>
      <c r="G212" s="175" t="s">
        <v>694</v>
      </c>
      <c r="H212" s="175" t="s">
        <v>695</v>
      </c>
      <c r="I212" s="175" t="s">
        <v>696</v>
      </c>
      <c r="J212" s="175" t="s">
        <v>697</v>
      </c>
      <c r="K212" s="175" t="s">
        <v>698</v>
      </c>
      <c r="L212" s="67"/>
      <c r="M212" s="8"/>
      <c r="N212" s="269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69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69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489991.17999999993</v>
      </c>
      <c r="G215" s="18">
        <v>258541.71999999997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748532.89999999991</v>
      </c>
      <c r="M215" s="8"/>
      <c r="N215" s="269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230835.16</v>
      </c>
      <c r="G216" s="18">
        <v>100284.64</v>
      </c>
      <c r="H216" s="18">
        <v>21973.95</v>
      </c>
      <c r="I216" s="18">
        <v>3064.1699999999996</v>
      </c>
      <c r="J216" s="18">
        <v>329.32</v>
      </c>
      <c r="K216" s="18">
        <v>0</v>
      </c>
      <c r="L216" s="19">
        <f>SUM(F216:K216)</f>
        <v>356487.24</v>
      </c>
      <c r="M216" s="8"/>
      <c r="N216" s="269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19498.59</v>
      </c>
      <c r="G217" s="18">
        <v>9719.89</v>
      </c>
      <c r="H217" s="18">
        <v>0</v>
      </c>
      <c r="I217" s="18">
        <v>1608.35</v>
      </c>
      <c r="J217" s="18">
        <v>0</v>
      </c>
      <c r="K217" s="18">
        <v>0</v>
      </c>
      <c r="L217" s="19">
        <f>SUM(F217:K217)</f>
        <v>30826.829999999998</v>
      </c>
      <c r="M217" s="8"/>
      <c r="N217" s="269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27278</v>
      </c>
      <c r="G218" s="18">
        <v>2727.66</v>
      </c>
      <c r="H218" s="18">
        <v>6017</v>
      </c>
      <c r="I218" s="18">
        <v>0</v>
      </c>
      <c r="J218" s="18">
        <v>1788.62</v>
      </c>
      <c r="K218" s="18">
        <v>7675.95</v>
      </c>
      <c r="L218" s="19">
        <f>SUM(F218:K218)</f>
        <v>45487.23</v>
      </c>
      <c r="M218" s="8"/>
      <c r="N218" s="269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69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99691.14</v>
      </c>
      <c r="G220" s="18">
        <v>47387.469999999994</v>
      </c>
      <c r="H220" s="18">
        <v>7100</v>
      </c>
      <c r="I220" s="18">
        <v>0</v>
      </c>
      <c r="J220" s="18">
        <v>0</v>
      </c>
      <c r="K220" s="18">
        <v>200</v>
      </c>
      <c r="L220" s="19">
        <f t="shared" ref="L220:L226" si="3">SUM(F220:K220)</f>
        <v>154378.60999999999</v>
      </c>
      <c r="M220" s="8"/>
      <c r="N220" s="269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28776.04</v>
      </c>
      <c r="G221" s="18">
        <v>14242.149999999998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3"/>
        <v>43018.19</v>
      </c>
      <c r="M221" s="8"/>
      <c r="N221" s="269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58153.88</v>
      </c>
      <c r="G222" s="18">
        <v>22333.05</v>
      </c>
      <c r="H222" s="18">
        <v>34178.49</v>
      </c>
      <c r="I222" s="18">
        <v>3220.9500000000003</v>
      </c>
      <c r="J222" s="18">
        <v>138.99</v>
      </c>
      <c r="K222" s="18">
        <v>4751.46</v>
      </c>
      <c r="L222" s="19">
        <f t="shared" si="3"/>
        <v>122776.81999999999</v>
      </c>
      <c r="M222" s="8"/>
      <c r="N222" s="269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49816.72</v>
      </c>
      <c r="G223" s="18">
        <v>13058.34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3"/>
        <v>62875.06</v>
      </c>
      <c r="M223" s="8"/>
      <c r="N223" s="269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26493.69</v>
      </c>
      <c r="G224" s="18">
        <v>10870.86</v>
      </c>
      <c r="H224" s="18">
        <v>1747.1399999999999</v>
      </c>
      <c r="I224" s="18">
        <v>213.09</v>
      </c>
      <c r="J224" s="18">
        <v>168.97</v>
      </c>
      <c r="K224" s="18">
        <v>88.8</v>
      </c>
      <c r="L224" s="19">
        <f t="shared" si="3"/>
        <v>39582.550000000003</v>
      </c>
      <c r="M224" s="8"/>
      <c r="N224" s="269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38985.180000000008</v>
      </c>
      <c r="G225" s="18">
        <v>18115.89</v>
      </c>
      <c r="H225" s="18">
        <v>9644.34</v>
      </c>
      <c r="I225" s="18">
        <v>13404.990000000002</v>
      </c>
      <c r="J225" s="18">
        <v>13000</v>
      </c>
      <c r="K225" s="18">
        <v>0</v>
      </c>
      <c r="L225" s="19">
        <f t="shared" si="3"/>
        <v>93150.400000000009</v>
      </c>
      <c r="M225" s="8"/>
      <c r="N225" s="269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15.91</v>
      </c>
      <c r="H226" s="18">
        <v>44589.470000000008</v>
      </c>
      <c r="I226" s="18">
        <v>0</v>
      </c>
      <c r="J226" s="18">
        <v>0</v>
      </c>
      <c r="K226" s="18">
        <v>0</v>
      </c>
      <c r="L226" s="19">
        <f t="shared" si="3"/>
        <v>44605.380000000012</v>
      </c>
      <c r="M226" s="8"/>
      <c r="N226" s="269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22631.48</v>
      </c>
      <c r="G227" s="18">
        <v>7327.9</v>
      </c>
      <c r="H227" s="18">
        <v>33293.42</v>
      </c>
      <c r="I227" s="18">
        <v>2846.96</v>
      </c>
      <c r="J227" s="18">
        <v>16082.52</v>
      </c>
      <c r="K227" s="18">
        <v>0</v>
      </c>
      <c r="L227" s="19">
        <f>SUM(F227:K227)</f>
        <v>82182.28</v>
      </c>
      <c r="M227" s="8"/>
      <c r="N227" s="269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69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4">SUM(F215:F228)</f>
        <v>1092151.0599999998</v>
      </c>
      <c r="G229" s="41">
        <f>SUM(G215:G228)</f>
        <v>504625.48</v>
      </c>
      <c r="H229" s="41">
        <f>SUM(H215:H228)</f>
        <v>158543.81</v>
      </c>
      <c r="I229" s="41">
        <f>SUM(I215:I228)</f>
        <v>24358.510000000002</v>
      </c>
      <c r="J229" s="41">
        <f>SUM(J215:J228)</f>
        <v>31508.42</v>
      </c>
      <c r="K229" s="41">
        <f t="shared" si="4"/>
        <v>12716.21</v>
      </c>
      <c r="L229" s="41">
        <f t="shared" si="4"/>
        <v>1823903.4900000002</v>
      </c>
      <c r="M229" s="8"/>
      <c r="N229" s="269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5" t="s">
        <v>693</v>
      </c>
      <c r="G230" s="175" t="s">
        <v>694</v>
      </c>
      <c r="H230" s="175" t="s">
        <v>695</v>
      </c>
      <c r="I230" s="175" t="s">
        <v>696</v>
      </c>
      <c r="J230" s="175" t="s">
        <v>697</v>
      </c>
      <c r="K230" s="175" t="s">
        <v>698</v>
      </c>
      <c r="L230" s="67"/>
      <c r="M230" s="8"/>
      <c r="N230" s="269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69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69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943882.18</v>
      </c>
      <c r="G233" s="18">
        <v>457636.99</v>
      </c>
      <c r="H233" s="18">
        <v>32350.769999999997</v>
      </c>
      <c r="I233" s="18">
        <v>57906.299999999996</v>
      </c>
      <c r="J233" s="18">
        <v>14358.209999999997</v>
      </c>
      <c r="K233" s="18">
        <v>0</v>
      </c>
      <c r="L233" s="19">
        <f>SUM(F233:K233)</f>
        <v>1506134.45</v>
      </c>
      <c r="M233" s="8"/>
      <c r="N233" s="269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424033.23000000004</v>
      </c>
      <c r="G234" s="18">
        <v>209235.82999999996</v>
      </c>
      <c r="H234" s="18">
        <v>84691.859999999986</v>
      </c>
      <c r="I234" s="18">
        <v>4526.01</v>
      </c>
      <c r="J234" s="18">
        <v>0</v>
      </c>
      <c r="K234" s="18">
        <v>808.73</v>
      </c>
      <c r="L234" s="19">
        <f>SUM(F234:K234)</f>
        <v>723295.66</v>
      </c>
      <c r="M234" s="8"/>
      <c r="N234" s="269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642726.80999999994</v>
      </c>
      <c r="G235" s="18">
        <v>286061.00999999995</v>
      </c>
      <c r="H235" s="18">
        <v>40411.090000000004</v>
      </c>
      <c r="I235" s="18">
        <v>26847.059999999998</v>
      </c>
      <c r="J235" s="18">
        <v>8229.8799999999992</v>
      </c>
      <c r="K235" s="18">
        <v>2902.4199999999996</v>
      </c>
      <c r="L235" s="19">
        <f>SUM(F235:K235)</f>
        <v>1007178.2699999998</v>
      </c>
      <c r="M235" s="8"/>
      <c r="N235" s="269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105079.5</v>
      </c>
      <c r="G236" s="18">
        <v>16334.189999999999</v>
      </c>
      <c r="H236" s="18">
        <v>20594.66</v>
      </c>
      <c r="I236" s="18">
        <v>2835.34</v>
      </c>
      <c r="J236" s="18">
        <v>11204.4</v>
      </c>
      <c r="K236" s="18">
        <v>14377.91</v>
      </c>
      <c r="L236" s="19">
        <f>SUM(F236:K236)</f>
        <v>170426</v>
      </c>
      <c r="M236" s="8"/>
      <c r="N236" s="269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69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234523.69999999998</v>
      </c>
      <c r="G238" s="18">
        <v>116988.92</v>
      </c>
      <c r="H238" s="18">
        <v>9898.380000000001</v>
      </c>
      <c r="I238" s="18">
        <v>5601.75</v>
      </c>
      <c r="J238" s="18">
        <v>0</v>
      </c>
      <c r="K238" s="18">
        <v>3651.55</v>
      </c>
      <c r="L238" s="19">
        <f t="shared" ref="L238:L244" si="5">SUM(F238:K238)</f>
        <v>370664.3</v>
      </c>
      <c r="M238" s="8"/>
      <c r="N238" s="269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43163.96</v>
      </c>
      <c r="G239" s="18">
        <v>21373.78</v>
      </c>
      <c r="H239" s="18">
        <v>397.5</v>
      </c>
      <c r="I239" s="18">
        <v>4430.03</v>
      </c>
      <c r="J239" s="18">
        <v>247.88</v>
      </c>
      <c r="K239" s="18">
        <v>10490.33</v>
      </c>
      <c r="L239" s="19">
        <f t="shared" si="5"/>
        <v>80103.48000000001</v>
      </c>
      <c r="M239" s="8"/>
      <c r="N239" s="269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87230.810000000012</v>
      </c>
      <c r="G240" s="18">
        <v>33499.55000000001</v>
      </c>
      <c r="H240" s="18">
        <v>51267.689999999995</v>
      </c>
      <c r="I240" s="18">
        <v>4831.3900000000003</v>
      </c>
      <c r="J240" s="18">
        <v>208.48000000000002</v>
      </c>
      <c r="K240" s="18">
        <v>7127.1899999999987</v>
      </c>
      <c r="L240" s="19">
        <f t="shared" si="5"/>
        <v>184165.11000000004</v>
      </c>
      <c r="M240" s="8"/>
      <c r="N240" s="269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201553.27000000002</v>
      </c>
      <c r="G241" s="18">
        <v>87892.34</v>
      </c>
      <c r="H241" s="18">
        <v>10621.66</v>
      </c>
      <c r="I241" s="18">
        <v>14158.94</v>
      </c>
      <c r="J241" s="18">
        <v>5959.92</v>
      </c>
      <c r="K241" s="18">
        <v>18283.68</v>
      </c>
      <c r="L241" s="19">
        <f t="shared" si="5"/>
        <v>338469.80999999994</v>
      </c>
      <c r="M241" s="8"/>
      <c r="N241" s="269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39740.539999999994</v>
      </c>
      <c r="G242" s="18">
        <v>16306.270000000004</v>
      </c>
      <c r="H242" s="18">
        <v>2620.7200000000007</v>
      </c>
      <c r="I242" s="18">
        <v>319.63</v>
      </c>
      <c r="J242" s="18">
        <v>253.46000000000004</v>
      </c>
      <c r="K242" s="18">
        <v>133.19999999999999</v>
      </c>
      <c r="L242" s="19">
        <f t="shared" si="5"/>
        <v>59373.819999999992</v>
      </c>
      <c r="M242" s="8"/>
      <c r="N242" s="269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182114.37000000002</v>
      </c>
      <c r="G243" s="18">
        <v>80733.739999999991</v>
      </c>
      <c r="H243" s="18">
        <v>106721.62</v>
      </c>
      <c r="I243" s="18">
        <v>361157.98</v>
      </c>
      <c r="J243" s="18">
        <v>29231.15</v>
      </c>
      <c r="K243" s="18">
        <v>1359.41</v>
      </c>
      <c r="L243" s="19">
        <f t="shared" si="5"/>
        <v>761318.27</v>
      </c>
      <c r="M243" s="8"/>
      <c r="N243" s="269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23.86</v>
      </c>
      <c r="H244" s="18">
        <v>156628.25999999998</v>
      </c>
      <c r="I244" s="18">
        <v>0</v>
      </c>
      <c r="J244" s="18">
        <v>0</v>
      </c>
      <c r="K244" s="18">
        <v>0</v>
      </c>
      <c r="L244" s="19">
        <f t="shared" si="5"/>
        <v>156652.11999999997</v>
      </c>
      <c r="M244" s="8"/>
      <c r="N244" s="269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33947.210000000006</v>
      </c>
      <c r="G245" s="18">
        <v>10991.789999999999</v>
      </c>
      <c r="H245" s="18">
        <v>49940.099999999984</v>
      </c>
      <c r="I245" s="18">
        <v>4270.4300000000012</v>
      </c>
      <c r="J245" s="18">
        <v>24123.769999999997</v>
      </c>
      <c r="K245" s="18">
        <v>0</v>
      </c>
      <c r="L245" s="19">
        <f>SUM(F245:K245)</f>
        <v>123273.29999999999</v>
      </c>
      <c r="M245" s="8"/>
      <c r="N245" s="269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69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6">SUM(F233:F246)</f>
        <v>2937995.5800000005</v>
      </c>
      <c r="G247" s="41">
        <f t="shared" si="6"/>
        <v>1337078.27</v>
      </c>
      <c r="H247" s="41">
        <f t="shared" si="6"/>
        <v>566144.30999999994</v>
      </c>
      <c r="I247" s="41">
        <f t="shared" si="6"/>
        <v>486884.86</v>
      </c>
      <c r="J247" s="41">
        <f t="shared" si="6"/>
        <v>93817.15</v>
      </c>
      <c r="K247" s="41">
        <f t="shared" si="6"/>
        <v>59134.419999999991</v>
      </c>
      <c r="L247" s="41">
        <f t="shared" si="6"/>
        <v>5481054.5899999999</v>
      </c>
      <c r="M247" s="8"/>
      <c r="N247" s="269"/>
    </row>
    <row r="248" spans="1:14" s="3" customFormat="1" ht="12" customHeight="1" x14ac:dyDescent="0.15">
      <c r="A248" s="70"/>
      <c r="B248" s="36"/>
      <c r="C248" s="37"/>
      <c r="D248" s="37"/>
      <c r="E248" s="37"/>
      <c r="F248" s="175" t="s">
        <v>693</v>
      </c>
      <c r="G248" s="175" t="s">
        <v>694</v>
      </c>
      <c r="H248" s="175" t="s">
        <v>695</v>
      </c>
      <c r="I248" s="175" t="s">
        <v>696</v>
      </c>
      <c r="J248" s="175" t="s">
        <v>697</v>
      </c>
      <c r="K248" s="175" t="s">
        <v>698</v>
      </c>
      <c r="L248" s="67"/>
      <c r="M248" s="8"/>
      <c r="N248" s="269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69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7">SUM(F250:K250)</f>
        <v>0</v>
      </c>
      <c r="M250" s="8"/>
      <c r="N250" s="269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7"/>
        <v>0</v>
      </c>
      <c r="M251" s="8"/>
      <c r="N251" s="269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7"/>
        <v>0</v>
      </c>
      <c r="M252" s="8"/>
      <c r="N252" s="269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7"/>
        <v>0</v>
      </c>
      <c r="M253" s="8"/>
      <c r="N253" s="269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7"/>
        <v>0</v>
      </c>
      <c r="M254" s="8"/>
      <c r="N254" s="269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7"/>
        <v>0</v>
      </c>
      <c r="M255" s="8"/>
      <c r="N255" s="269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8">SUM(F250:F255)</f>
        <v>0</v>
      </c>
      <c r="G256" s="41">
        <f t="shared" si="8"/>
        <v>0</v>
      </c>
      <c r="H256" s="41">
        <f t="shared" si="8"/>
        <v>0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>SUM(F256:K256)</f>
        <v>0</v>
      </c>
      <c r="M256" s="8"/>
      <c r="N256" s="269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9">F211+F229+F247+F256</f>
        <v>7606043.120000001</v>
      </c>
      <c r="G257" s="41">
        <f t="shared" si="9"/>
        <v>3681664.79</v>
      </c>
      <c r="H257" s="41">
        <f t="shared" si="9"/>
        <v>1215767.6499999999</v>
      </c>
      <c r="I257" s="41">
        <f t="shared" si="9"/>
        <v>798362.22</v>
      </c>
      <c r="J257" s="41">
        <f t="shared" si="9"/>
        <v>272271.40000000002</v>
      </c>
      <c r="K257" s="41">
        <f t="shared" si="9"/>
        <v>101314.18</v>
      </c>
      <c r="L257" s="41">
        <f t="shared" si="9"/>
        <v>13675423.359999999</v>
      </c>
      <c r="M257" s="8"/>
      <c r="N257" s="269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69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69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560000</v>
      </c>
      <c r="L260" s="19">
        <f>SUM(F260:K260)</f>
        <v>560000</v>
      </c>
      <c r="M260" s="8"/>
      <c r="N260" s="269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278747</v>
      </c>
      <c r="L261" s="19">
        <f>SUM(F261:K261)</f>
        <v>278747</v>
      </c>
      <c r="N261" s="267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7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104173.29</v>
      </c>
      <c r="L263" s="19">
        <f>SUM(F263:K263)</f>
        <v>104173.29</v>
      </c>
      <c r="N263" s="267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10">SUM(F264:K264)</f>
        <v>0</v>
      </c>
      <c r="N264" s="267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7649.26</v>
      </c>
      <c r="L265" s="19">
        <f t="shared" si="10"/>
        <v>7649.26</v>
      </c>
      <c r="N265" s="267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90000</v>
      </c>
      <c r="L266" s="19">
        <f t="shared" si="10"/>
        <v>90000</v>
      </c>
      <c r="N266" s="267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7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10"/>
        <v>0</v>
      </c>
      <c r="N268" s="267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10"/>
        <v>0</v>
      </c>
      <c r="N269" s="267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1">SUM(F260:F269)</f>
        <v>0</v>
      </c>
      <c r="G270" s="42">
        <f t="shared" si="11"/>
        <v>0</v>
      </c>
      <c r="H270" s="42">
        <f t="shared" si="11"/>
        <v>0</v>
      </c>
      <c r="I270" s="42">
        <f t="shared" si="11"/>
        <v>0</v>
      </c>
      <c r="J270" s="42">
        <f t="shared" si="11"/>
        <v>0</v>
      </c>
      <c r="K270" s="42">
        <f t="shared" si="11"/>
        <v>1040569.55</v>
      </c>
      <c r="L270" s="41">
        <f t="shared" si="10"/>
        <v>1040569.55</v>
      </c>
      <c r="N270" s="267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2">F257+F270</f>
        <v>7606043.120000001</v>
      </c>
      <c r="G271" s="42">
        <f t="shared" si="12"/>
        <v>3681664.79</v>
      </c>
      <c r="H271" s="42">
        <f t="shared" si="12"/>
        <v>1215767.6499999999</v>
      </c>
      <c r="I271" s="42">
        <f t="shared" si="12"/>
        <v>798362.22</v>
      </c>
      <c r="J271" s="42">
        <f t="shared" si="12"/>
        <v>272271.40000000002</v>
      </c>
      <c r="K271" s="42">
        <f t="shared" si="12"/>
        <v>1141883.73</v>
      </c>
      <c r="L271" s="42">
        <f t="shared" si="12"/>
        <v>14715992.91</v>
      </c>
      <c r="M271" s="8"/>
      <c r="N271" s="269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9"/>
    </row>
    <row r="273" spans="1:14" s="3" customFormat="1" ht="12" customHeight="1" x14ac:dyDescent="0.15">
      <c r="A273" s="29" t="s">
        <v>467</v>
      </c>
      <c r="F273" s="175" t="s">
        <v>693</v>
      </c>
      <c r="G273" s="175" t="s">
        <v>694</v>
      </c>
      <c r="H273" s="175" t="s">
        <v>695</v>
      </c>
      <c r="I273" s="175" t="s">
        <v>696</v>
      </c>
      <c r="J273" s="175" t="s">
        <v>697</v>
      </c>
      <c r="K273" s="175" t="s">
        <v>698</v>
      </c>
      <c r="M273" s="8"/>
      <c r="N273" s="269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69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69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190402.78</v>
      </c>
      <c r="G276" s="18">
        <v>84517.200000000012</v>
      </c>
      <c r="H276" s="18">
        <v>1195.1600000000001</v>
      </c>
      <c r="I276" s="18">
        <v>0</v>
      </c>
      <c r="J276" s="18">
        <v>0</v>
      </c>
      <c r="K276" s="18">
        <v>11130.130000000001</v>
      </c>
      <c r="L276" s="19">
        <f>SUM(F276:K276)</f>
        <v>287245.26999999996</v>
      </c>
      <c r="M276" s="8"/>
      <c r="N276" s="269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129606</v>
      </c>
      <c r="G277" s="18">
        <v>35596.120000000003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165202.12</v>
      </c>
      <c r="M277" s="8"/>
      <c r="N277" s="269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9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69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69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3">SUM(F281:K281)</f>
        <v>0</v>
      </c>
      <c r="M281" s="8"/>
      <c r="N281" s="269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1224.69</v>
      </c>
      <c r="G282" s="18">
        <v>265.52</v>
      </c>
      <c r="H282" s="18">
        <v>34012.210000000006</v>
      </c>
      <c r="I282" s="18">
        <v>1530</v>
      </c>
      <c r="J282" s="18">
        <v>0</v>
      </c>
      <c r="K282" s="18">
        <v>7621.52</v>
      </c>
      <c r="L282" s="19">
        <f t="shared" si="13"/>
        <v>44653.94</v>
      </c>
      <c r="M282" s="8"/>
      <c r="N282" s="269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3"/>
        <v>0</v>
      </c>
      <c r="M283" s="8"/>
      <c r="N283" s="269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3"/>
        <v>0</v>
      </c>
      <c r="M284" s="8"/>
      <c r="N284" s="269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3"/>
        <v>0</v>
      </c>
      <c r="M285" s="8"/>
      <c r="N285" s="269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3"/>
        <v>0</v>
      </c>
      <c r="M286" s="8"/>
      <c r="N286" s="269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3"/>
        <v>0</v>
      </c>
      <c r="M287" s="8"/>
      <c r="N287" s="269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69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69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4">SUM(F276:F289)</f>
        <v>321233.47000000003</v>
      </c>
      <c r="G290" s="42">
        <f t="shared" si="14"/>
        <v>120378.84000000001</v>
      </c>
      <c r="H290" s="42">
        <f t="shared" si="14"/>
        <v>35207.37000000001</v>
      </c>
      <c r="I290" s="42">
        <f t="shared" si="14"/>
        <v>1530</v>
      </c>
      <c r="J290" s="42">
        <f t="shared" si="14"/>
        <v>0</v>
      </c>
      <c r="K290" s="42">
        <f t="shared" si="14"/>
        <v>18751.650000000001</v>
      </c>
      <c r="L290" s="41">
        <f t="shared" si="14"/>
        <v>497101.32999999996</v>
      </c>
      <c r="M290" s="8"/>
      <c r="N290" s="269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69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5" t="s">
        <v>693</v>
      </c>
      <c r="G292" s="175" t="s">
        <v>694</v>
      </c>
      <c r="H292" s="175" t="s">
        <v>695</v>
      </c>
      <c r="I292" s="175" t="s">
        <v>696</v>
      </c>
      <c r="J292" s="175" t="s">
        <v>697</v>
      </c>
      <c r="K292" s="175" t="s">
        <v>698</v>
      </c>
      <c r="L292" s="17"/>
      <c r="M292" s="8"/>
      <c r="N292" s="269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69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69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83</v>
      </c>
      <c r="G295" s="18">
        <v>6.35</v>
      </c>
      <c r="H295" s="18">
        <v>478.06</v>
      </c>
      <c r="I295" s="18">
        <v>0</v>
      </c>
      <c r="J295" s="18">
        <v>0</v>
      </c>
      <c r="K295" s="18">
        <v>0</v>
      </c>
      <c r="L295" s="19">
        <f>SUM(F295:K295)</f>
        <v>567.41</v>
      </c>
      <c r="M295" s="8"/>
      <c r="N295" s="269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9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69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69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5">SUM(F300:K300)</f>
        <v>0</v>
      </c>
      <c r="M300" s="8"/>
      <c r="N300" s="269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489.88</v>
      </c>
      <c r="G301" s="18">
        <v>106.19999999999999</v>
      </c>
      <c r="H301" s="18">
        <v>10892.669999999998</v>
      </c>
      <c r="I301" s="18">
        <v>612</v>
      </c>
      <c r="J301" s="18">
        <v>0</v>
      </c>
      <c r="K301" s="18">
        <v>301.63</v>
      </c>
      <c r="L301" s="19">
        <f t="shared" si="15"/>
        <v>12402.379999999997</v>
      </c>
      <c r="M301" s="8"/>
      <c r="N301" s="269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5"/>
        <v>0</v>
      </c>
      <c r="M302" s="8"/>
      <c r="N302" s="269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5"/>
        <v>0</v>
      </c>
      <c r="M303" s="8"/>
      <c r="N303" s="269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5"/>
        <v>0</v>
      </c>
      <c r="M304" s="8"/>
      <c r="N304" s="269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5"/>
        <v>0</v>
      </c>
      <c r="M305" s="8"/>
      <c r="N305" s="269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5"/>
        <v>0</v>
      </c>
      <c r="M306" s="8"/>
      <c r="N306" s="269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69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69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6">SUM(F295:F308)</f>
        <v>572.88</v>
      </c>
      <c r="G309" s="42">
        <f t="shared" si="16"/>
        <v>112.54999999999998</v>
      </c>
      <c r="H309" s="42">
        <f t="shared" si="16"/>
        <v>11370.729999999998</v>
      </c>
      <c r="I309" s="42">
        <f t="shared" si="16"/>
        <v>612</v>
      </c>
      <c r="J309" s="42">
        <f t="shared" si="16"/>
        <v>0</v>
      </c>
      <c r="K309" s="42">
        <f t="shared" si="16"/>
        <v>301.63</v>
      </c>
      <c r="L309" s="41">
        <f t="shared" si="16"/>
        <v>12969.789999999997</v>
      </c>
      <c r="N309" s="267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69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5" t="s">
        <v>693</v>
      </c>
      <c r="G311" s="175" t="s">
        <v>694</v>
      </c>
      <c r="H311" s="175" t="s">
        <v>695</v>
      </c>
      <c r="I311" s="175" t="s">
        <v>696</v>
      </c>
      <c r="J311" s="175" t="s">
        <v>697</v>
      </c>
      <c r="K311" s="175" t="s">
        <v>698</v>
      </c>
      <c r="L311" s="20"/>
      <c r="M311" s="8"/>
      <c r="N311" s="269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69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69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40659.86</v>
      </c>
      <c r="G314" s="18">
        <v>4618.63</v>
      </c>
      <c r="H314" s="18">
        <v>9561.02</v>
      </c>
      <c r="I314" s="18">
        <v>494.51</v>
      </c>
      <c r="J314" s="18">
        <v>0</v>
      </c>
      <c r="K314" s="18">
        <v>1261</v>
      </c>
      <c r="L314" s="19">
        <f>SUM(F314:K314)</f>
        <v>56595.02</v>
      </c>
      <c r="M314" s="8"/>
      <c r="N314" s="269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10638.39</v>
      </c>
      <c r="I316" s="18">
        <v>4697.3999999999996</v>
      </c>
      <c r="J316" s="18">
        <v>7145</v>
      </c>
      <c r="K316" s="18">
        <v>2670.94</v>
      </c>
      <c r="L316" s="19">
        <f>SUM(F316:K316)</f>
        <v>25151.73</v>
      </c>
      <c r="M316" s="8"/>
      <c r="N316" s="269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69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69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7">SUM(F319:K319)</f>
        <v>0</v>
      </c>
      <c r="M319" s="8"/>
      <c r="N319" s="269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734.81</v>
      </c>
      <c r="G320" s="18">
        <v>159.29000000000002</v>
      </c>
      <c r="H320" s="18">
        <v>16338.989999999998</v>
      </c>
      <c r="I320" s="18">
        <v>918</v>
      </c>
      <c r="J320" s="18">
        <v>0</v>
      </c>
      <c r="K320" s="18">
        <v>452.45999999999992</v>
      </c>
      <c r="L320" s="19">
        <f t="shared" si="17"/>
        <v>18603.549999999996</v>
      </c>
      <c r="M320" s="8"/>
      <c r="N320" s="269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7"/>
        <v>0</v>
      </c>
      <c r="M321" s="8"/>
      <c r="N321" s="269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7"/>
        <v>0</v>
      </c>
      <c r="M322" s="8"/>
      <c r="N322" s="269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7"/>
        <v>0</v>
      </c>
      <c r="M323" s="8"/>
      <c r="N323" s="269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7"/>
        <v>0</v>
      </c>
      <c r="M324" s="8"/>
      <c r="N324" s="269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7"/>
        <v>0</v>
      </c>
      <c r="M325" s="8"/>
      <c r="N325" s="269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69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69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8">SUM(F314:F327)</f>
        <v>41394.67</v>
      </c>
      <c r="G328" s="42">
        <f t="shared" si="18"/>
        <v>4777.92</v>
      </c>
      <c r="H328" s="42">
        <f t="shared" si="18"/>
        <v>36538.399999999994</v>
      </c>
      <c r="I328" s="42">
        <f t="shared" si="18"/>
        <v>6109.91</v>
      </c>
      <c r="J328" s="42">
        <f t="shared" si="18"/>
        <v>7145</v>
      </c>
      <c r="K328" s="42">
        <f t="shared" si="18"/>
        <v>4384.3999999999996</v>
      </c>
      <c r="L328" s="41">
        <f t="shared" si="18"/>
        <v>100350.29999999999</v>
      </c>
      <c r="M328" s="8"/>
      <c r="N328" s="269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69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5" t="s">
        <v>693</v>
      </c>
      <c r="G330" s="175" t="s">
        <v>694</v>
      </c>
      <c r="H330" s="175" t="s">
        <v>695</v>
      </c>
      <c r="I330" s="175" t="s">
        <v>696</v>
      </c>
      <c r="J330" s="175" t="s">
        <v>697</v>
      </c>
      <c r="K330" s="175" t="s">
        <v>698</v>
      </c>
      <c r="L330" s="19"/>
      <c r="M330" s="8"/>
      <c r="N330" s="269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69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9">SUM(F332:K332)</f>
        <v>0</v>
      </c>
      <c r="M332" s="8"/>
      <c r="N332" s="269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9"/>
        <v>0</v>
      </c>
      <c r="M333" s="8"/>
      <c r="N333" s="269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9"/>
        <v>0</v>
      </c>
      <c r="M334" s="8"/>
      <c r="N334" s="269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9"/>
        <v>0</v>
      </c>
      <c r="M335" s="8"/>
      <c r="N335" s="269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9"/>
        <v>0</v>
      </c>
      <c r="M336" s="8"/>
      <c r="N336" s="269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20">SUM(F332:F336)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19"/>
        <v>0</v>
      </c>
      <c r="M337" s="8"/>
      <c r="N337" s="269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1">F290+F309+F328+F337</f>
        <v>363201.02</v>
      </c>
      <c r="G338" s="41">
        <f t="shared" si="21"/>
        <v>125269.31000000001</v>
      </c>
      <c r="H338" s="41">
        <f t="shared" si="21"/>
        <v>83116.5</v>
      </c>
      <c r="I338" s="41">
        <f t="shared" si="21"/>
        <v>8251.91</v>
      </c>
      <c r="J338" s="41">
        <f t="shared" si="21"/>
        <v>7145</v>
      </c>
      <c r="K338" s="41">
        <f t="shared" si="21"/>
        <v>23437.68</v>
      </c>
      <c r="L338" s="41">
        <f t="shared" si="21"/>
        <v>610421.41999999993</v>
      </c>
      <c r="M338" s="8"/>
      <c r="N338" s="269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69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69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69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69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8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2">SUM(F344:K344)</f>
        <v>0</v>
      </c>
      <c r="M344" s="8"/>
      <c r="N344" s="269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2"/>
        <v>0</v>
      </c>
      <c r="M345" s="8"/>
      <c r="N345" s="269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2"/>
        <v>0</v>
      </c>
      <c r="M346" s="8"/>
      <c r="N346" s="269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2"/>
        <v>0</v>
      </c>
      <c r="M347" s="8"/>
      <c r="N347" s="269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69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2"/>
        <v>0</v>
      </c>
      <c r="M349" s="8"/>
      <c r="N349" s="269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2"/>
        <v>0</v>
      </c>
      <c r="M350" s="8"/>
      <c r="N350" s="269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69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363201.02</v>
      </c>
      <c r="G352" s="41">
        <f>G338</f>
        <v>125269.31000000001</v>
      </c>
      <c r="H352" s="41">
        <f>H338</f>
        <v>83116.5</v>
      </c>
      <c r="I352" s="41">
        <f>I338</f>
        <v>8251.91</v>
      </c>
      <c r="J352" s="41">
        <f>J338</f>
        <v>7145</v>
      </c>
      <c r="K352" s="47">
        <f>K338+K351</f>
        <v>23437.68</v>
      </c>
      <c r="L352" s="41">
        <f>L338+L351</f>
        <v>610421.41999999993</v>
      </c>
      <c r="M352" s="52"/>
      <c r="N352" s="268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69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693</v>
      </c>
      <c r="G354" s="175" t="s">
        <v>694</v>
      </c>
      <c r="H354" s="175" t="s">
        <v>695</v>
      </c>
      <c r="I354" s="175" t="s">
        <v>696</v>
      </c>
      <c r="J354" s="175" t="s">
        <v>697</v>
      </c>
      <c r="K354" s="175" t="s">
        <v>698</v>
      </c>
      <c r="L354" s="53"/>
      <c r="M354" s="8"/>
      <c r="N354" s="269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69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69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77748.75</v>
      </c>
      <c r="G358" s="18">
        <v>61867.94000000001</v>
      </c>
      <c r="H358" s="18">
        <v>2568.83</v>
      </c>
      <c r="I358" s="18">
        <v>78365.19</v>
      </c>
      <c r="J358" s="18">
        <v>0</v>
      </c>
      <c r="K358" s="18">
        <v>109.03</v>
      </c>
      <c r="L358" s="13">
        <f>SUM(F358:K358)</f>
        <v>220659.74</v>
      </c>
      <c r="N358" s="267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69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84976.76999999999</v>
      </c>
      <c r="G360" s="18">
        <v>61399.909999999989</v>
      </c>
      <c r="H360" s="18">
        <v>2367.7799999999997</v>
      </c>
      <c r="I360" s="18">
        <v>84537.819999999992</v>
      </c>
      <c r="J360" s="18">
        <v>0</v>
      </c>
      <c r="K360" s="18">
        <v>109.02000000000001</v>
      </c>
      <c r="L360" s="19">
        <f>SUM(F360:K360)</f>
        <v>233391.29999999996</v>
      </c>
      <c r="M360" s="8"/>
      <c r="N360" s="269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69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3">SUM(F358:F361)</f>
        <v>162725.51999999999</v>
      </c>
      <c r="G362" s="47">
        <f t="shared" si="23"/>
        <v>123267.85</v>
      </c>
      <c r="H362" s="47">
        <f t="shared" si="23"/>
        <v>4936.6099999999997</v>
      </c>
      <c r="I362" s="47">
        <f t="shared" si="23"/>
        <v>162903.01</v>
      </c>
      <c r="J362" s="47">
        <f t="shared" si="23"/>
        <v>0</v>
      </c>
      <c r="K362" s="47">
        <f t="shared" si="23"/>
        <v>218.05</v>
      </c>
      <c r="L362" s="47">
        <f t="shared" si="23"/>
        <v>454051.03999999992</v>
      </c>
      <c r="M362" s="8"/>
      <c r="N362" s="269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9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69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71679.329999999987</v>
      </c>
      <c r="G367" s="18">
        <v>0</v>
      </c>
      <c r="H367" s="18">
        <v>79473.429999999993</v>
      </c>
      <c r="I367" s="56">
        <f>SUM(F367:H367)</f>
        <v>151152.75999999998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6685.8600000000151</v>
      </c>
      <c r="G368" s="63">
        <v>0</v>
      </c>
      <c r="H368" s="63">
        <v>5064.3899999999994</v>
      </c>
      <c r="I368" s="56">
        <f>SUM(F368:H368)</f>
        <v>11750.250000000015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78365.19</v>
      </c>
      <c r="G369" s="47">
        <f>SUM(G367:G368)</f>
        <v>0</v>
      </c>
      <c r="H369" s="47">
        <f>SUM(H367:H368)</f>
        <v>84537.819999999992</v>
      </c>
      <c r="I369" s="47">
        <f>SUM(I367:I368)</f>
        <v>162903.01</v>
      </c>
      <c r="J369" s="24" t="s">
        <v>289</v>
      </c>
      <c r="K369" s="24" t="s">
        <v>289</v>
      </c>
      <c r="L369" s="24" t="s">
        <v>289</v>
      </c>
      <c r="M369" s="8"/>
      <c r="N369" s="269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69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5" t="s">
        <v>693</v>
      </c>
      <c r="G371" s="175" t="s">
        <v>694</v>
      </c>
      <c r="H371" s="175" t="s">
        <v>695</v>
      </c>
      <c r="I371" s="175" t="s">
        <v>696</v>
      </c>
      <c r="J371" s="175" t="s">
        <v>697</v>
      </c>
      <c r="K371" s="175" t="s">
        <v>698</v>
      </c>
      <c r="L371" s="13"/>
      <c r="M371" s="8"/>
      <c r="N371" s="269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69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69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69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4">SUM(F375:K375)</f>
        <v>0</v>
      </c>
      <c r="M375" s="8"/>
      <c r="N375" s="269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4"/>
        <v>0</v>
      </c>
      <c r="M376" s="8"/>
      <c r="N376" s="269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4"/>
        <v>0</v>
      </c>
      <c r="M377" s="8"/>
      <c r="N377" s="269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4"/>
        <v>0</v>
      </c>
      <c r="M378" s="8"/>
      <c r="N378" s="269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4"/>
        <v>0</v>
      </c>
      <c r="M379" s="8"/>
      <c r="N379" s="269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4"/>
        <v>0</v>
      </c>
      <c r="M380" s="8"/>
      <c r="N380" s="269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4"/>
        <v>0</v>
      </c>
      <c r="M381" s="8"/>
      <c r="N381" s="269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5">SUM(G374:G381)</f>
        <v>0</v>
      </c>
      <c r="H382" s="139">
        <f t="shared" si="25"/>
        <v>0</v>
      </c>
      <c r="I382" s="41">
        <f t="shared" si="25"/>
        <v>0</v>
      </c>
      <c r="J382" s="47">
        <f t="shared" si="25"/>
        <v>0</v>
      </c>
      <c r="K382" s="47">
        <f t="shared" si="25"/>
        <v>0</v>
      </c>
      <c r="L382" s="47">
        <f t="shared" si="25"/>
        <v>0</v>
      </c>
      <c r="M382" s="8"/>
      <c r="N382" s="269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69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69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6">SUM(F387:K387)</f>
        <v>0</v>
      </c>
      <c r="M387" s="8"/>
      <c r="N387" s="269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6"/>
        <v>0</v>
      </c>
      <c r="M388" s="8"/>
      <c r="N388" s="269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6"/>
        <v>0</v>
      </c>
      <c r="M389" s="8"/>
      <c r="N389" s="269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6"/>
        <v>0</v>
      </c>
      <c r="M390" s="8"/>
      <c r="N390" s="269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6"/>
        <v>0</v>
      </c>
      <c r="M391" s="8"/>
      <c r="N391" s="269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6"/>
        <v>0</v>
      </c>
      <c r="M392" s="8"/>
      <c r="N392" s="269"/>
    </row>
    <row r="393" spans="1:14" s="3" customFormat="1" ht="12" customHeight="1" thickTop="1" x14ac:dyDescent="0.15">
      <c r="A393" s="158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69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69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7">SUM(F395:K395)</f>
        <v>0</v>
      </c>
      <c r="M395" s="8"/>
      <c r="N395" s="269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50000</v>
      </c>
      <c r="H396" s="18">
        <v>83.55</v>
      </c>
      <c r="I396" s="18">
        <v>0</v>
      </c>
      <c r="J396" s="24" t="s">
        <v>289</v>
      </c>
      <c r="K396" s="24" t="s">
        <v>289</v>
      </c>
      <c r="L396" s="56">
        <f t="shared" si="27"/>
        <v>50083.55</v>
      </c>
      <c r="M396" s="8"/>
      <c r="N396" s="269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10000</v>
      </c>
      <c r="H397" s="18">
        <v>101.02</v>
      </c>
      <c r="I397" s="18">
        <v>0</v>
      </c>
      <c r="J397" s="24" t="s">
        <v>289</v>
      </c>
      <c r="K397" s="24" t="s">
        <v>289</v>
      </c>
      <c r="L397" s="56">
        <f t="shared" si="27"/>
        <v>10101.02</v>
      </c>
      <c r="M397" s="8"/>
      <c r="N397" s="269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7"/>
        <v>0</v>
      </c>
      <c r="M398" s="8"/>
      <c r="N398" s="269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7"/>
        <v>0</v>
      </c>
      <c r="M399" s="8"/>
      <c r="N399" s="269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30000</v>
      </c>
      <c r="H400" s="18">
        <v>274.89999999999998</v>
      </c>
      <c r="I400" s="18">
        <v>53633.72</v>
      </c>
      <c r="J400" s="24" t="s">
        <v>289</v>
      </c>
      <c r="K400" s="24" t="s">
        <v>289</v>
      </c>
      <c r="L400" s="56">
        <f t="shared" si="27"/>
        <v>83908.62</v>
      </c>
      <c r="M400" s="8"/>
      <c r="N400" s="269"/>
    </row>
    <row r="401" spans="1:21" s="3" customFormat="1" ht="12" customHeight="1" thickTop="1" x14ac:dyDescent="0.15">
      <c r="A401" s="158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90000</v>
      </c>
      <c r="H401" s="47">
        <f>SUM(H395:H400)</f>
        <v>459.46999999999997</v>
      </c>
      <c r="I401" s="47">
        <f>SUM(I395:I400)</f>
        <v>53633.72</v>
      </c>
      <c r="J401" s="45" t="s">
        <v>289</v>
      </c>
      <c r="K401" s="45" t="s">
        <v>289</v>
      </c>
      <c r="L401" s="47">
        <f>SUM(L395:L400)</f>
        <v>144093.19</v>
      </c>
      <c r="M401" s="8"/>
      <c r="N401" s="269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69"/>
    </row>
    <row r="407" spans="1:21" s="3" customFormat="1" ht="12" customHeight="1" thickTop="1" thickBot="1" x14ac:dyDescent="0.2">
      <c r="A407" s="158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69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90000</v>
      </c>
      <c r="H408" s="47">
        <f>H393+H401+H407</f>
        <v>459.46999999999997</v>
      </c>
      <c r="I408" s="47">
        <f>I393+I401+I407</f>
        <v>53633.72</v>
      </c>
      <c r="J408" s="24" t="s">
        <v>289</v>
      </c>
      <c r="K408" s="24" t="s">
        <v>289</v>
      </c>
      <c r="L408" s="47">
        <f>L393+L401+L407</f>
        <v>144093.19</v>
      </c>
      <c r="M408" s="8"/>
      <c r="N408" s="269"/>
    </row>
    <row r="409" spans="1:21" s="3" customFormat="1" ht="12" customHeight="1" x14ac:dyDescent="0.15">
      <c r="A409" s="78"/>
      <c r="B409" s="2"/>
      <c r="C409" s="6"/>
      <c r="D409" s="6"/>
      <c r="E409" s="6"/>
      <c r="F409" s="175" t="s">
        <v>693</v>
      </c>
      <c r="G409" s="175" t="s">
        <v>694</v>
      </c>
      <c r="H409" s="175" t="s">
        <v>695</v>
      </c>
      <c r="I409" s="175" t="s">
        <v>696</v>
      </c>
      <c r="J409" s="175" t="s">
        <v>697</v>
      </c>
      <c r="K409" s="175" t="s">
        <v>698</v>
      </c>
      <c r="L409" s="56"/>
      <c r="M409" s="8"/>
      <c r="N409" s="269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69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69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69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8">SUM(F413:K413)</f>
        <v>0</v>
      </c>
      <c r="M413" s="8"/>
      <c r="N413" s="269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8"/>
        <v>0</v>
      </c>
      <c r="M414" s="52"/>
      <c r="N414" s="268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8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8"/>
        <v>0</v>
      </c>
      <c r="M416" s="8"/>
      <c r="N416" s="269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8"/>
        <v>0</v>
      </c>
      <c r="M417" s="8"/>
      <c r="N417" s="269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8"/>
        <v>0</v>
      </c>
      <c r="M418" s="8"/>
      <c r="N418" s="269"/>
    </row>
    <row r="419" spans="1:21" s="3" customFormat="1" ht="12" customHeight="1" thickTop="1" x14ac:dyDescent="0.15">
      <c r="A419" s="158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9">SUM(F413:F418)</f>
        <v>0</v>
      </c>
      <c r="G419" s="139">
        <f t="shared" si="29"/>
        <v>0</v>
      </c>
      <c r="H419" s="139">
        <f t="shared" si="29"/>
        <v>0</v>
      </c>
      <c r="I419" s="139">
        <f t="shared" si="29"/>
        <v>0</v>
      </c>
      <c r="J419" s="139">
        <f t="shared" si="29"/>
        <v>0</v>
      </c>
      <c r="K419" s="139">
        <f t="shared" si="29"/>
        <v>0</v>
      </c>
      <c r="L419" s="47">
        <f t="shared" si="29"/>
        <v>0</v>
      </c>
      <c r="M419" s="8"/>
      <c r="N419" s="269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69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30">SUM(F421:K421)</f>
        <v>0</v>
      </c>
      <c r="M421" s="8"/>
      <c r="N421" s="269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30"/>
        <v>0</v>
      </c>
      <c r="M422" s="8"/>
      <c r="N422" s="269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30"/>
        <v>0</v>
      </c>
      <c r="M423" s="8"/>
      <c r="N423" s="269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30"/>
        <v>0</v>
      </c>
      <c r="M424" s="8"/>
      <c r="N424" s="269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30"/>
        <v>0</v>
      </c>
      <c r="M425" s="8"/>
      <c r="N425" s="269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30"/>
        <v>0</v>
      </c>
      <c r="M426" s="8"/>
      <c r="N426" s="269"/>
    </row>
    <row r="427" spans="1:21" s="3" customFormat="1" ht="12" customHeight="1" thickTop="1" x14ac:dyDescent="0.15">
      <c r="A427" s="158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1">SUM(F421:F426)</f>
        <v>0</v>
      </c>
      <c r="G427" s="47">
        <f t="shared" si="31"/>
        <v>0</v>
      </c>
      <c r="H427" s="47">
        <f t="shared" si="31"/>
        <v>0</v>
      </c>
      <c r="I427" s="47">
        <f t="shared" si="31"/>
        <v>0</v>
      </c>
      <c r="J427" s="47">
        <f t="shared" si="31"/>
        <v>0</v>
      </c>
      <c r="K427" s="47">
        <f t="shared" si="31"/>
        <v>0</v>
      </c>
      <c r="L427" s="47">
        <f t="shared" si="31"/>
        <v>0</v>
      </c>
      <c r="M427" s="8"/>
      <c r="N427" s="269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5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5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5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7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69"/>
    </row>
    <row r="433" spans="1:14" s="3" customFormat="1" ht="12" customHeight="1" thickTop="1" thickBot="1" x14ac:dyDescent="0.2">
      <c r="A433" s="158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2">SUM(F429:F432)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69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3">F419+F427+F433</f>
        <v>0</v>
      </c>
      <c r="G434" s="47">
        <f t="shared" si="33"/>
        <v>0</v>
      </c>
      <c r="H434" s="47">
        <f t="shared" si="33"/>
        <v>0</v>
      </c>
      <c r="I434" s="47">
        <f t="shared" si="33"/>
        <v>0</v>
      </c>
      <c r="J434" s="47">
        <f t="shared" si="33"/>
        <v>0</v>
      </c>
      <c r="K434" s="47">
        <f t="shared" si="33"/>
        <v>0</v>
      </c>
      <c r="L434" s="47">
        <f t="shared" si="33"/>
        <v>0</v>
      </c>
      <c r="M434" s="8"/>
      <c r="N434" s="269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9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9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9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4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692001.7699999999</v>
      </c>
      <c r="G440" s="18">
        <v>0</v>
      </c>
      <c r="H440" s="18">
        <v>0</v>
      </c>
      <c r="I440" s="56">
        <f t="shared" si="34"/>
        <v>692001.7699999999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90000</v>
      </c>
      <c r="G441" s="18">
        <v>0</v>
      </c>
      <c r="H441" s="18">
        <v>0</v>
      </c>
      <c r="I441" s="56">
        <f t="shared" si="34"/>
        <v>90000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4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4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4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4"/>
        <v>0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782001.7699999999</v>
      </c>
      <c r="G446" s="13">
        <f>SUM(G439:G445)</f>
        <v>0</v>
      </c>
      <c r="H446" s="13">
        <f>SUM(H439:H445)</f>
        <v>0</v>
      </c>
      <c r="I446" s="13">
        <f>SUM(I439:I445)</f>
        <v>782001.7699999999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5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69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5"/>
        <v>0</v>
      </c>
      <c r="J455" s="24"/>
      <c r="K455" s="24"/>
      <c r="L455" s="24"/>
      <c r="M455" s="8"/>
      <c r="N455" s="269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5"/>
        <v>0</v>
      </c>
      <c r="J456" s="24" t="s">
        <v>289</v>
      </c>
      <c r="K456" s="24" t="s">
        <v>289</v>
      </c>
      <c r="L456" s="24" t="s">
        <v>289</v>
      </c>
      <c r="M456" s="8"/>
      <c r="N456" s="269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5"/>
        <v>0</v>
      </c>
      <c r="J457" s="24" t="s">
        <v>289</v>
      </c>
      <c r="K457" s="24" t="s">
        <v>289</v>
      </c>
      <c r="L457" s="24" t="s">
        <v>289</v>
      </c>
      <c r="M457" s="68"/>
      <c r="N457" s="225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5"/>
        <v>0</v>
      </c>
      <c r="J458" s="24"/>
      <c r="K458" s="24"/>
      <c r="L458" s="24"/>
      <c r="M458" s="52"/>
      <c r="N458" s="268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782001.7699999999</v>
      </c>
      <c r="G459" s="18">
        <v>0</v>
      </c>
      <c r="H459" s="18">
        <v>0</v>
      </c>
      <c r="I459" s="56">
        <f t="shared" si="35"/>
        <v>782001.7699999999</v>
      </c>
      <c r="J459" s="24" t="s">
        <v>289</v>
      </c>
      <c r="K459" s="24" t="s">
        <v>289</v>
      </c>
      <c r="L459" s="24" t="s">
        <v>289</v>
      </c>
      <c r="M459" s="52"/>
      <c r="N459" s="268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782001.7699999999</v>
      </c>
      <c r="G460" s="83">
        <f>SUM(G454:G459)</f>
        <v>0</v>
      </c>
      <c r="H460" s="83">
        <f>SUM(H454:H459)</f>
        <v>0</v>
      </c>
      <c r="I460" s="83">
        <f>SUM(I454:I459)</f>
        <v>782001.7699999999</v>
      </c>
      <c r="J460" s="24" t="s">
        <v>289</v>
      </c>
      <c r="K460" s="24" t="s">
        <v>289</v>
      </c>
      <c r="L460" s="24" t="s">
        <v>289</v>
      </c>
      <c r="N460" s="268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5" t="s">
        <v>433</v>
      </c>
      <c r="E461" s="82"/>
      <c r="F461" s="42">
        <f>F452+F460</f>
        <v>782001.7699999999</v>
      </c>
      <c r="G461" s="42">
        <f>G452+G460</f>
        <v>0</v>
      </c>
      <c r="H461" s="42">
        <f>H452+H460</f>
        <v>0</v>
      </c>
      <c r="I461" s="42">
        <f>I452+I460</f>
        <v>782001.7699999999</v>
      </c>
      <c r="J461" s="24" t="s">
        <v>289</v>
      </c>
      <c r="K461" s="24" t="s">
        <v>289</v>
      </c>
      <c r="L461" s="24" t="s">
        <v>289</v>
      </c>
      <c r="N461" s="268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68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8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68"/>
    </row>
    <row r="465" spans="1:14" s="52" customFormat="1" ht="12" customHeight="1" x14ac:dyDescent="0.2">
      <c r="A465" s="187" t="s">
        <v>904</v>
      </c>
      <c r="B465" s="105">
        <v>19</v>
      </c>
      <c r="C465" s="111">
        <v>1</v>
      </c>
      <c r="D465" s="2" t="s">
        <v>433</v>
      </c>
      <c r="E465" s="111"/>
      <c r="F465" s="18">
        <v>1181711.26</v>
      </c>
      <c r="G465" s="18">
        <v>6578.9800000000005</v>
      </c>
      <c r="H465" s="18">
        <v>0</v>
      </c>
      <c r="I465" s="18">
        <v>12676.859999999999</v>
      </c>
      <c r="J465" s="18">
        <v>637908.57999999996</v>
      </c>
      <c r="K465" s="24" t="s">
        <v>289</v>
      </c>
      <c r="L465" s="24" t="s">
        <v>289</v>
      </c>
      <c r="N465" s="268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8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8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14776430.330000002</v>
      </c>
      <c r="G468" s="18">
        <v>453807.18999999994</v>
      </c>
      <c r="H468" s="18">
        <v>610421.42000000004</v>
      </c>
      <c r="I468" s="18">
        <v>7649.26</v>
      </c>
      <c r="J468" s="18">
        <v>144093.19</v>
      </c>
      <c r="K468" s="24" t="s">
        <v>289</v>
      </c>
      <c r="L468" s="24" t="s">
        <v>289</v>
      </c>
      <c r="N468" s="268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68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14776430.330000002</v>
      </c>
      <c r="G470" s="53">
        <f>SUM(G468:G469)</f>
        <v>453807.18999999994</v>
      </c>
      <c r="H470" s="53">
        <f>SUM(H468:H469)</f>
        <v>610421.42000000004</v>
      </c>
      <c r="I470" s="53">
        <f>SUM(I468:I469)</f>
        <v>7649.26</v>
      </c>
      <c r="J470" s="53">
        <f>SUM(J468:J469)</f>
        <v>144093.19</v>
      </c>
      <c r="K470" s="24" t="s">
        <v>289</v>
      </c>
      <c r="L470" s="24" t="s">
        <v>289</v>
      </c>
      <c r="N470" s="268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8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14715992.91</v>
      </c>
      <c r="G472" s="18">
        <v>454051.03999999992</v>
      </c>
      <c r="H472" s="18">
        <v>610421.42000000016</v>
      </c>
      <c r="I472" s="18">
        <v>0</v>
      </c>
      <c r="J472" s="18">
        <v>0</v>
      </c>
      <c r="K472" s="24" t="s">
        <v>289</v>
      </c>
      <c r="L472" s="24" t="s">
        <v>289</v>
      </c>
      <c r="N472" s="268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289</v>
      </c>
      <c r="L473" s="24" t="s">
        <v>289</v>
      </c>
      <c r="N473" s="268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14715992.91</v>
      </c>
      <c r="G474" s="53">
        <f>SUM(G472:G473)</f>
        <v>454051.03999999992</v>
      </c>
      <c r="H474" s="53">
        <f>SUM(H472:H473)</f>
        <v>610421.42000000016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68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8"/>
    </row>
    <row r="476" spans="1:14" s="52" customFormat="1" ht="12" customHeight="1" x14ac:dyDescent="0.2">
      <c r="A476" s="188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1242148.6800000016</v>
      </c>
      <c r="G476" s="53">
        <f>(G465+G470)- G474</f>
        <v>6335.1300000000047</v>
      </c>
      <c r="H476" s="53">
        <f>(H465+H470)- H474</f>
        <v>0</v>
      </c>
      <c r="I476" s="53">
        <f>(I465+I470)- I474</f>
        <v>20326.12</v>
      </c>
      <c r="J476" s="53">
        <f>(J465+J470)- J474</f>
        <v>782001.77</v>
      </c>
      <c r="K476" s="24" t="s">
        <v>289</v>
      </c>
      <c r="L476" s="24" t="s">
        <v>289</v>
      </c>
      <c r="N476" s="268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68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68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68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68"/>
    </row>
    <row r="481" spans="1:14" s="52" customFormat="1" ht="12" customHeight="1" x14ac:dyDescent="0.2">
      <c r="A481" s="173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68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68"/>
    </row>
    <row r="483" spans="1:14" s="52" customFormat="1" ht="12" customHeight="1" x14ac:dyDescent="0.2">
      <c r="A483" s="172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68"/>
    </row>
    <row r="484" spans="1:14" s="52" customFormat="1" ht="12" customHeight="1" x14ac:dyDescent="0.2">
      <c r="A484" s="172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68"/>
    </row>
    <row r="485" spans="1:14" s="52" customFormat="1" ht="12" customHeight="1" x14ac:dyDescent="0.2">
      <c r="A485" s="172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68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68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68"/>
    </row>
    <row r="488" spans="1:14" s="52" customFormat="1" ht="12" customHeight="1" x14ac:dyDescent="0.2">
      <c r="A488" s="146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68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68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8">
        <v>20</v>
      </c>
      <c r="G490" s="18">
        <v>17</v>
      </c>
      <c r="H490" s="18"/>
      <c r="I490" s="153"/>
      <c r="J490" s="153"/>
      <c r="K490" s="24" t="s">
        <v>289</v>
      </c>
      <c r="L490" s="24" t="s">
        <v>289</v>
      </c>
      <c r="N490" s="268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8" t="s">
        <v>912</v>
      </c>
      <c r="G491" s="18" t="s">
        <v>913</v>
      </c>
      <c r="H491" s="18"/>
      <c r="I491" s="153"/>
      <c r="J491" s="153"/>
      <c r="K491" s="24" t="s">
        <v>289</v>
      </c>
      <c r="L491" s="24" t="s">
        <v>289</v>
      </c>
      <c r="N491" s="268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8" t="s">
        <v>914</v>
      </c>
      <c r="G492" s="18" t="s">
        <v>915</v>
      </c>
      <c r="H492" s="18"/>
      <c r="I492" s="153"/>
      <c r="J492" s="153"/>
      <c r="K492" s="24" t="s">
        <v>289</v>
      </c>
      <c r="L492" s="24" t="s">
        <v>289</v>
      </c>
      <c r="N492" s="268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6000000</v>
      </c>
      <c r="G493" s="18">
        <v>4160640</v>
      </c>
      <c r="H493" s="18"/>
      <c r="I493" s="18"/>
      <c r="J493" s="18"/>
      <c r="K493" s="24" t="s">
        <v>289</v>
      </c>
      <c r="L493" s="24" t="s">
        <v>289</v>
      </c>
      <c r="N493" s="268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3.9</v>
      </c>
      <c r="G494" s="18">
        <v>5.39</v>
      </c>
      <c r="H494" s="18" t="s">
        <v>916</v>
      </c>
      <c r="I494" s="18"/>
      <c r="J494" s="18"/>
      <c r="K494" s="24" t="s">
        <v>289</v>
      </c>
      <c r="L494" s="24" t="s">
        <v>289</v>
      </c>
      <c r="N494" s="268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2700000</v>
      </c>
      <c r="G495" s="18">
        <v>3380000</v>
      </c>
      <c r="H495" s="18"/>
      <c r="I495" s="18"/>
      <c r="J495" s="18"/>
      <c r="K495" s="53">
        <f>SUM(F495:J495)</f>
        <v>6080000</v>
      </c>
      <c r="L495" s="24" t="s">
        <v>289</v>
      </c>
      <c r="N495" s="268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68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300000</v>
      </c>
      <c r="G497" s="18">
        <v>260000</v>
      </c>
      <c r="H497" s="18"/>
      <c r="I497" s="18"/>
      <c r="J497" s="18"/>
      <c r="K497" s="53">
        <f t="shared" si="36"/>
        <v>560000</v>
      </c>
      <c r="L497" s="24" t="s">
        <v>289</v>
      </c>
      <c r="N497" s="268"/>
    </row>
    <row r="498" spans="1:14" s="52" customFormat="1" ht="12" customHeight="1" x14ac:dyDescent="0.2">
      <c r="A498" s="198" t="s">
        <v>626</v>
      </c>
      <c r="B498" s="199">
        <v>20</v>
      </c>
      <c r="C498" s="200">
        <v>9</v>
      </c>
      <c r="D498" s="201" t="s">
        <v>433</v>
      </c>
      <c r="E498" s="200"/>
      <c r="F498" s="202">
        <v>2400000</v>
      </c>
      <c r="G498" s="202">
        <v>3120000</v>
      </c>
      <c r="H498" s="202">
        <v>0</v>
      </c>
      <c r="I498" s="202">
        <v>0</v>
      </c>
      <c r="J498" s="202">
        <v>0</v>
      </c>
      <c r="K498" s="203">
        <f t="shared" si="36"/>
        <v>5520000</v>
      </c>
      <c r="L498" s="204" t="s">
        <v>289</v>
      </c>
      <c r="N498" s="268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321441</v>
      </c>
      <c r="G499" s="18">
        <v>1009008</v>
      </c>
      <c r="H499" s="18">
        <v>0</v>
      </c>
      <c r="I499" s="18">
        <v>0</v>
      </c>
      <c r="J499" s="18">
        <v>0</v>
      </c>
      <c r="K499" s="53">
        <f t="shared" si="36"/>
        <v>1330449</v>
      </c>
      <c r="L499" s="24" t="s">
        <v>289</v>
      </c>
      <c r="N499" s="268"/>
    </row>
    <row r="500" spans="1:14" s="52" customFormat="1" ht="12" customHeight="1" thickTop="1" x14ac:dyDescent="0.2">
      <c r="A500" s="139" t="s">
        <v>628</v>
      </c>
      <c r="B500" s="44">
        <v>20</v>
      </c>
      <c r="C500" s="193">
        <v>11</v>
      </c>
      <c r="D500" s="39" t="s">
        <v>433</v>
      </c>
      <c r="E500" s="193"/>
      <c r="F500" s="42">
        <f>SUM(F498:F499)</f>
        <v>2721441</v>
      </c>
      <c r="G500" s="42">
        <f>SUM(G498:G499)</f>
        <v>4129008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6850449</v>
      </c>
      <c r="L500" s="45" t="s">
        <v>289</v>
      </c>
      <c r="N500" s="268"/>
    </row>
    <row r="501" spans="1:14" s="52" customFormat="1" ht="12" customHeight="1" x14ac:dyDescent="0.2">
      <c r="A501" s="198" t="s">
        <v>655</v>
      </c>
      <c r="B501" s="199">
        <v>20</v>
      </c>
      <c r="C501" s="200">
        <v>12</v>
      </c>
      <c r="D501" s="201" t="s">
        <v>433</v>
      </c>
      <c r="E501" s="200"/>
      <c r="F501" s="202">
        <v>300000</v>
      </c>
      <c r="G501" s="202">
        <v>260000</v>
      </c>
      <c r="H501" s="202">
        <v>0</v>
      </c>
      <c r="I501" s="202">
        <v>0</v>
      </c>
      <c r="J501" s="202">
        <v>0</v>
      </c>
      <c r="K501" s="203">
        <f t="shared" si="36"/>
        <v>560000</v>
      </c>
      <c r="L501" s="204" t="s">
        <v>289</v>
      </c>
      <c r="N501" s="268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91422</v>
      </c>
      <c r="G502" s="18">
        <v>161161</v>
      </c>
      <c r="H502" s="18">
        <v>0</v>
      </c>
      <c r="I502" s="18">
        <v>0</v>
      </c>
      <c r="J502" s="18">
        <v>0</v>
      </c>
      <c r="K502" s="53">
        <f t="shared" si="36"/>
        <v>252583</v>
      </c>
      <c r="L502" s="24" t="s">
        <v>289</v>
      </c>
      <c r="N502" s="268"/>
    </row>
    <row r="503" spans="1:14" s="52" customFormat="1" ht="12" customHeight="1" thickTop="1" x14ac:dyDescent="0.2">
      <c r="A503" s="139" t="s">
        <v>630</v>
      </c>
      <c r="B503" s="44">
        <v>20</v>
      </c>
      <c r="C503" s="193">
        <v>14</v>
      </c>
      <c r="D503" s="39" t="s">
        <v>433</v>
      </c>
      <c r="E503" s="193"/>
      <c r="F503" s="42">
        <f>SUM(F501:F502)</f>
        <v>391422</v>
      </c>
      <c r="G503" s="42">
        <f>SUM(G501:G502)</f>
        <v>421161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812583</v>
      </c>
      <c r="L503" s="45" t="s">
        <v>289</v>
      </c>
      <c r="N503" s="268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68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68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68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68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8"/>
    </row>
    <row r="509" spans="1:14" s="52" customFormat="1" ht="12" customHeight="1" x14ac:dyDescent="0.2">
      <c r="A509" s="146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68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68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68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68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68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68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68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68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8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5" t="s">
        <v>693</v>
      </c>
      <c r="G518" s="175" t="s">
        <v>694</v>
      </c>
      <c r="H518" s="175" t="s">
        <v>695</v>
      </c>
      <c r="I518" s="175" t="s">
        <v>696</v>
      </c>
      <c r="J518" s="175" t="s">
        <v>697</v>
      </c>
      <c r="K518" s="175" t="s">
        <v>698</v>
      </c>
      <c r="L518" s="106"/>
      <c r="N518" s="268"/>
    </row>
    <row r="519" spans="1:14" s="52" customFormat="1" ht="12" customHeight="1" x14ac:dyDescent="0.2">
      <c r="A519" s="176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68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8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706076.84</v>
      </c>
      <c r="G521" s="18">
        <v>468096.19000000012</v>
      </c>
      <c r="H521" s="18">
        <v>57938.42</v>
      </c>
      <c r="I521" s="18">
        <v>2981.91</v>
      </c>
      <c r="J521" s="18">
        <v>116.36</v>
      </c>
      <c r="K521" s="18">
        <v>140</v>
      </c>
      <c r="L521" s="88">
        <f>SUM(F521:K521)</f>
        <v>1235349.72</v>
      </c>
      <c r="N521" s="268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205272.71</v>
      </c>
      <c r="G522" s="18">
        <v>87796.27</v>
      </c>
      <c r="H522" s="18">
        <v>21973.95</v>
      </c>
      <c r="I522" s="18">
        <v>3064.1699999999996</v>
      </c>
      <c r="J522" s="18">
        <v>329.32</v>
      </c>
      <c r="K522" s="18">
        <v>0</v>
      </c>
      <c r="L522" s="88">
        <f>SUM(F522:K522)</f>
        <v>318436.42</v>
      </c>
      <c r="N522" s="268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424033.23000000004</v>
      </c>
      <c r="G523" s="18">
        <v>209235.82999999996</v>
      </c>
      <c r="H523" s="18">
        <v>84691.859999999986</v>
      </c>
      <c r="I523" s="18">
        <v>4526.01</v>
      </c>
      <c r="J523" s="18">
        <v>0</v>
      </c>
      <c r="K523" s="18">
        <v>808.73</v>
      </c>
      <c r="L523" s="88">
        <f>SUM(F523:K523)</f>
        <v>723295.66</v>
      </c>
      <c r="N523" s="268"/>
    </row>
    <row r="524" spans="1:14" s="52" customFormat="1" ht="12" customHeight="1" thickTop="1" x14ac:dyDescent="0.2">
      <c r="A524" s="139" t="s">
        <v>63</v>
      </c>
      <c r="B524" s="107">
        <v>21</v>
      </c>
      <c r="C524" s="193">
        <v>4</v>
      </c>
      <c r="D524" s="194" t="s">
        <v>433</v>
      </c>
      <c r="E524" s="193"/>
      <c r="F524" s="108">
        <f>SUM(F521:F523)</f>
        <v>1335382.78</v>
      </c>
      <c r="G524" s="108">
        <f t="shared" ref="G524:L524" si="37">SUM(G521:G523)</f>
        <v>765128.29</v>
      </c>
      <c r="H524" s="108">
        <f t="shared" si="37"/>
        <v>164604.22999999998</v>
      </c>
      <c r="I524" s="108">
        <f t="shared" si="37"/>
        <v>10572.09</v>
      </c>
      <c r="J524" s="108">
        <f t="shared" si="37"/>
        <v>445.68</v>
      </c>
      <c r="K524" s="108">
        <f t="shared" si="37"/>
        <v>948.73</v>
      </c>
      <c r="L524" s="89">
        <f t="shared" si="37"/>
        <v>2277081.7999999998</v>
      </c>
      <c r="N524" s="268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8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152649.24</v>
      </c>
      <c r="G526" s="18">
        <v>59700.25</v>
      </c>
      <c r="H526" s="18">
        <v>30460</v>
      </c>
      <c r="I526" s="18">
        <v>2958.0999999999995</v>
      </c>
      <c r="J526" s="18">
        <v>1177</v>
      </c>
      <c r="K526" s="18">
        <v>1328.48</v>
      </c>
      <c r="L526" s="88">
        <f>SUM(F526:K526)</f>
        <v>248273.07</v>
      </c>
      <c r="M526" s="8"/>
      <c r="N526" s="269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50101.14</v>
      </c>
      <c r="G527" s="18">
        <v>22048.58</v>
      </c>
      <c r="H527" s="18">
        <v>7040</v>
      </c>
      <c r="I527" s="18">
        <v>0</v>
      </c>
      <c r="J527" s="18">
        <v>0</v>
      </c>
      <c r="K527" s="18">
        <v>200</v>
      </c>
      <c r="L527" s="88">
        <f>SUM(F527:K527)</f>
        <v>79389.72</v>
      </c>
      <c r="M527" s="8"/>
      <c r="N527" s="269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75152.23</v>
      </c>
      <c r="G528" s="18">
        <v>32860.54</v>
      </c>
      <c r="H528" s="18">
        <v>6380</v>
      </c>
      <c r="I528" s="18">
        <v>0</v>
      </c>
      <c r="J528" s="18">
        <v>0</v>
      </c>
      <c r="K528" s="18">
        <v>200</v>
      </c>
      <c r="L528" s="88">
        <f>SUM(F528:K528)</f>
        <v>114592.76999999999</v>
      </c>
      <c r="M528" s="8"/>
      <c r="N528" s="269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6" t="s">
        <v>433</v>
      </c>
      <c r="E529" s="107"/>
      <c r="F529" s="89">
        <f>SUM(F526:F528)</f>
        <v>277902.61</v>
      </c>
      <c r="G529" s="89">
        <f t="shared" ref="G529:L529" si="38">SUM(G526:G528)</f>
        <v>114609.37</v>
      </c>
      <c r="H529" s="89">
        <f t="shared" si="38"/>
        <v>43880</v>
      </c>
      <c r="I529" s="89">
        <f t="shared" si="38"/>
        <v>2958.0999999999995</v>
      </c>
      <c r="J529" s="89">
        <f t="shared" si="38"/>
        <v>1177</v>
      </c>
      <c r="K529" s="89">
        <f t="shared" si="38"/>
        <v>1728.48</v>
      </c>
      <c r="L529" s="89">
        <f t="shared" si="38"/>
        <v>442255.56000000006</v>
      </c>
      <c r="M529" s="8"/>
      <c r="N529" s="269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69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38343.800000000003</v>
      </c>
      <c r="G531" s="18">
        <v>26879.88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65223.680000000008</v>
      </c>
      <c r="M531" s="8"/>
      <c r="N531" s="269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25562.45</v>
      </c>
      <c r="G532" s="18">
        <v>12488.37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38050.82</v>
      </c>
      <c r="M532" s="8"/>
      <c r="N532" s="269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69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6" t="s">
        <v>433</v>
      </c>
      <c r="E534" s="107"/>
      <c r="F534" s="89">
        <f>SUM(F531:F533)</f>
        <v>63906.25</v>
      </c>
      <c r="G534" s="89">
        <f t="shared" ref="G534:L534" si="39">SUM(G531:G533)</f>
        <v>39368.25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103274.5</v>
      </c>
      <c r="M534" s="8"/>
      <c r="N534" s="269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2" t="s">
        <v>289</v>
      </c>
      <c r="G535" s="192" t="s">
        <v>289</v>
      </c>
      <c r="H535" s="192" t="s">
        <v>289</v>
      </c>
      <c r="I535" s="192" t="s">
        <v>289</v>
      </c>
      <c r="J535" s="192" t="s">
        <v>289</v>
      </c>
      <c r="K535" s="192" t="s">
        <v>289</v>
      </c>
      <c r="L535" s="192" t="s">
        <v>289</v>
      </c>
      <c r="M535" s="8"/>
      <c r="N535" s="269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69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69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69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6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69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69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21146.31</v>
      </c>
      <c r="G541" s="18">
        <v>14875.460000000003</v>
      </c>
      <c r="H541" s="18">
        <v>9707.14</v>
      </c>
      <c r="I541" s="18">
        <v>4287.17</v>
      </c>
      <c r="J541" s="18">
        <v>0</v>
      </c>
      <c r="K541" s="18">
        <v>0</v>
      </c>
      <c r="L541" s="88">
        <f>SUM(F541:K541)</f>
        <v>50016.08</v>
      </c>
      <c r="M541" s="8"/>
      <c r="N541" s="269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0</v>
      </c>
      <c r="G542" s="18">
        <v>15.91</v>
      </c>
      <c r="H542" s="18">
        <v>1803.9</v>
      </c>
      <c r="I542" s="18">
        <v>0</v>
      </c>
      <c r="J542" s="18">
        <v>0</v>
      </c>
      <c r="K542" s="18">
        <v>0</v>
      </c>
      <c r="L542" s="88">
        <f>SUM(F542:K542)</f>
        <v>1819.8100000000002</v>
      </c>
      <c r="M542" s="8"/>
      <c r="N542" s="269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0</v>
      </c>
      <c r="G543" s="18">
        <v>23.86</v>
      </c>
      <c r="H543" s="18">
        <v>2705.8500000000004</v>
      </c>
      <c r="I543" s="18">
        <v>0</v>
      </c>
      <c r="J543" s="18">
        <v>0</v>
      </c>
      <c r="K543" s="18">
        <v>0</v>
      </c>
      <c r="L543" s="88">
        <f>SUM(F543:K543)</f>
        <v>2729.7100000000005</v>
      </c>
      <c r="M543" s="8"/>
      <c r="N543" s="269"/>
    </row>
    <row r="544" spans="1:14" s="3" customFormat="1" ht="12" customHeight="1" thickTop="1" thickBot="1" x14ac:dyDescent="0.2">
      <c r="A544" s="130" t="s">
        <v>71</v>
      </c>
      <c r="B544" s="189">
        <v>21</v>
      </c>
      <c r="C544" s="189">
        <v>20</v>
      </c>
      <c r="D544" s="190" t="s">
        <v>433</v>
      </c>
      <c r="E544" s="189"/>
      <c r="F544" s="191">
        <f>SUM(F541:F543)</f>
        <v>21146.31</v>
      </c>
      <c r="G544" s="191">
        <f t="shared" ref="G544:L544" si="41">SUM(G541:G543)</f>
        <v>14915.230000000003</v>
      </c>
      <c r="H544" s="191">
        <f t="shared" si="41"/>
        <v>14216.89</v>
      </c>
      <c r="I544" s="191">
        <f t="shared" si="41"/>
        <v>4287.17</v>
      </c>
      <c r="J544" s="191">
        <f t="shared" si="41"/>
        <v>0</v>
      </c>
      <c r="K544" s="191">
        <f t="shared" si="41"/>
        <v>0</v>
      </c>
      <c r="L544" s="191">
        <f t="shared" si="41"/>
        <v>54565.599999999999</v>
      </c>
      <c r="M544" s="8"/>
      <c r="N544" s="269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6" t="s">
        <v>433</v>
      </c>
      <c r="E545" s="107"/>
      <c r="F545" s="89">
        <f>F524+F529+F534+F539+F544</f>
        <v>1698337.9500000002</v>
      </c>
      <c r="G545" s="89">
        <f t="shared" ref="G545:L545" si="42">G524+G529+G534+G539+G544</f>
        <v>934021.14</v>
      </c>
      <c r="H545" s="89">
        <f t="shared" si="42"/>
        <v>222701.12</v>
      </c>
      <c r="I545" s="89">
        <f t="shared" si="42"/>
        <v>17817.36</v>
      </c>
      <c r="J545" s="89">
        <f t="shared" si="42"/>
        <v>1622.68</v>
      </c>
      <c r="K545" s="89">
        <f t="shared" si="42"/>
        <v>2677.21</v>
      </c>
      <c r="L545" s="89">
        <f t="shared" si="42"/>
        <v>2877177.46</v>
      </c>
      <c r="M545" s="8"/>
      <c r="N545" s="269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69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69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69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1235349.72</v>
      </c>
      <c r="G549" s="87">
        <f>L526</f>
        <v>248273.07</v>
      </c>
      <c r="H549" s="87">
        <f>L531</f>
        <v>65223.680000000008</v>
      </c>
      <c r="I549" s="87">
        <f>L536</f>
        <v>0</v>
      </c>
      <c r="J549" s="87">
        <f>L541</f>
        <v>50016.08</v>
      </c>
      <c r="K549" s="87">
        <f>SUM(F549:J549)</f>
        <v>1598862.55</v>
      </c>
      <c r="L549" s="24" t="s">
        <v>289</v>
      </c>
      <c r="M549" s="8"/>
      <c r="N549" s="269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318436.42</v>
      </c>
      <c r="G550" s="87">
        <f>L527</f>
        <v>79389.72</v>
      </c>
      <c r="H550" s="87">
        <f>L532</f>
        <v>38050.82</v>
      </c>
      <c r="I550" s="87">
        <f>L537</f>
        <v>0</v>
      </c>
      <c r="J550" s="87">
        <f>L542</f>
        <v>1819.8100000000002</v>
      </c>
      <c r="K550" s="87">
        <f>SUM(F550:J550)</f>
        <v>437696.77</v>
      </c>
      <c r="L550" s="24" t="s">
        <v>289</v>
      </c>
      <c r="M550" s="8"/>
      <c r="N550" s="269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723295.66</v>
      </c>
      <c r="G551" s="87">
        <f>L528</f>
        <v>114592.76999999999</v>
      </c>
      <c r="H551" s="87">
        <f>L533</f>
        <v>0</v>
      </c>
      <c r="I551" s="87">
        <f>L538</f>
        <v>0</v>
      </c>
      <c r="J551" s="87">
        <f>L543</f>
        <v>2729.7100000000005</v>
      </c>
      <c r="K551" s="87">
        <f>SUM(F551:J551)</f>
        <v>840618.14</v>
      </c>
      <c r="L551" s="24" t="s">
        <v>289</v>
      </c>
      <c r="M551" s="8"/>
      <c r="N551" s="269"/>
    </row>
    <row r="552" spans="1:14" s="3" customFormat="1" ht="12" customHeight="1" thickTop="1" x14ac:dyDescent="0.15">
      <c r="A552" s="170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2277081.7999999998</v>
      </c>
      <c r="G552" s="89">
        <f t="shared" si="43"/>
        <v>442255.56000000006</v>
      </c>
      <c r="H552" s="89">
        <f t="shared" si="43"/>
        <v>103274.5</v>
      </c>
      <c r="I552" s="89">
        <f t="shared" si="43"/>
        <v>0</v>
      </c>
      <c r="J552" s="89">
        <f t="shared" si="43"/>
        <v>54565.599999999999</v>
      </c>
      <c r="K552" s="89">
        <f t="shared" si="43"/>
        <v>2877177.46</v>
      </c>
      <c r="L552" s="24"/>
      <c r="M552" s="8"/>
      <c r="N552" s="269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69"/>
    </row>
    <row r="554" spans="1:14" s="3" customFormat="1" ht="12" customHeight="1" x14ac:dyDescent="0.15">
      <c r="B554" s="105"/>
      <c r="C554" s="115"/>
      <c r="D554" s="115"/>
      <c r="E554" s="115"/>
      <c r="F554" s="175" t="s">
        <v>693</v>
      </c>
      <c r="G554" s="175" t="s">
        <v>694</v>
      </c>
      <c r="H554" s="175" t="s">
        <v>695</v>
      </c>
      <c r="I554" s="175" t="s">
        <v>696</v>
      </c>
      <c r="J554" s="175" t="s">
        <v>697</v>
      </c>
      <c r="K554" s="175" t="s">
        <v>698</v>
      </c>
      <c r="L554" s="106"/>
      <c r="M554" s="8"/>
      <c r="N554" s="269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69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69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69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69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69"/>
    </row>
    <row r="560" spans="1:14" s="3" customFormat="1" ht="12" customHeight="1" thickTop="1" x14ac:dyDescent="0.15">
      <c r="A560" s="139" t="s">
        <v>63</v>
      </c>
      <c r="B560" s="107">
        <v>22</v>
      </c>
      <c r="C560" s="193">
        <v>4</v>
      </c>
      <c r="D560" s="194" t="s">
        <v>433</v>
      </c>
      <c r="E560" s="193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69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69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67552.539999999994</v>
      </c>
      <c r="G562" s="18">
        <v>0</v>
      </c>
      <c r="H562" s="18">
        <v>0</v>
      </c>
      <c r="I562" s="18">
        <v>1006.44</v>
      </c>
      <c r="J562" s="18">
        <v>299.24</v>
      </c>
      <c r="K562" s="18">
        <v>0</v>
      </c>
      <c r="L562" s="88">
        <f>SUM(F562:K562)</f>
        <v>68858.22</v>
      </c>
      <c r="M562" s="8"/>
      <c r="N562" s="269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18639.23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18639.23</v>
      </c>
      <c r="M563" s="8"/>
      <c r="N563" s="269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18780.73</v>
      </c>
      <c r="G564" s="18">
        <v>0</v>
      </c>
      <c r="H564" s="18">
        <v>0</v>
      </c>
      <c r="I564" s="18">
        <v>700</v>
      </c>
      <c r="J564" s="18">
        <v>0</v>
      </c>
      <c r="K564" s="18">
        <v>0</v>
      </c>
      <c r="L564" s="88">
        <f>SUM(F564:K564)</f>
        <v>19480.73</v>
      </c>
      <c r="M564" s="8"/>
      <c r="N564" s="269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4" t="s">
        <v>433</v>
      </c>
      <c r="E565" s="107"/>
      <c r="F565" s="89">
        <f t="shared" ref="F565:L565" si="45">SUM(F562:F564)</f>
        <v>104972.49999999999</v>
      </c>
      <c r="G565" s="89">
        <f t="shared" si="45"/>
        <v>0</v>
      </c>
      <c r="H565" s="89">
        <f t="shared" si="45"/>
        <v>0</v>
      </c>
      <c r="I565" s="89">
        <f t="shared" si="45"/>
        <v>1706.44</v>
      </c>
      <c r="J565" s="89">
        <f t="shared" si="45"/>
        <v>299.24</v>
      </c>
      <c r="K565" s="89">
        <f t="shared" si="45"/>
        <v>0</v>
      </c>
      <c r="L565" s="89">
        <f t="shared" si="45"/>
        <v>106978.18</v>
      </c>
      <c r="M565" s="8"/>
      <c r="N565" s="269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69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1000</v>
      </c>
      <c r="G567" s="18">
        <v>218.1</v>
      </c>
      <c r="H567" s="18">
        <v>0</v>
      </c>
      <c r="I567" s="18">
        <v>835</v>
      </c>
      <c r="J567" s="18">
        <v>0</v>
      </c>
      <c r="K567" s="18">
        <v>0</v>
      </c>
      <c r="L567" s="88">
        <f>SUM(F567:K567)</f>
        <v>2053.1</v>
      </c>
      <c r="M567" s="8"/>
      <c r="N567" s="269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69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5658</v>
      </c>
      <c r="I569" s="18">
        <v>85</v>
      </c>
      <c r="J569" s="18">
        <v>0</v>
      </c>
      <c r="K569" s="18">
        <v>0</v>
      </c>
      <c r="L569" s="88">
        <f>SUM(F569:K569)</f>
        <v>5743</v>
      </c>
      <c r="M569" s="8"/>
      <c r="N569" s="269"/>
    </row>
    <row r="570" spans="1:14" s="3" customFormat="1" ht="12" customHeight="1" thickTop="1" thickBot="1" x14ac:dyDescent="0.2">
      <c r="A570" s="130" t="s">
        <v>67</v>
      </c>
      <c r="B570" s="189">
        <v>22</v>
      </c>
      <c r="C570" s="189">
        <v>12</v>
      </c>
      <c r="D570" s="195" t="s">
        <v>433</v>
      </c>
      <c r="E570" s="189"/>
      <c r="F570" s="191">
        <f>SUM(F567:F569)</f>
        <v>1000</v>
      </c>
      <c r="G570" s="191">
        <f t="shared" ref="G570:L570" si="46">SUM(G567:G569)</f>
        <v>218.1</v>
      </c>
      <c r="H570" s="191">
        <f t="shared" si="46"/>
        <v>5658</v>
      </c>
      <c r="I570" s="191">
        <f t="shared" si="46"/>
        <v>920</v>
      </c>
      <c r="J570" s="191">
        <f t="shared" si="46"/>
        <v>0</v>
      </c>
      <c r="K570" s="191">
        <f t="shared" si="46"/>
        <v>0</v>
      </c>
      <c r="L570" s="191">
        <f t="shared" si="46"/>
        <v>7796.1</v>
      </c>
      <c r="M570" s="8"/>
      <c r="N570" s="269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6" t="s">
        <v>433</v>
      </c>
      <c r="E571" s="107"/>
      <c r="F571" s="89">
        <f>F560+F565+F570</f>
        <v>105972.49999999999</v>
      </c>
      <c r="G571" s="89">
        <f t="shared" ref="G571:L571" si="47">G560+G565+G570</f>
        <v>218.1</v>
      </c>
      <c r="H571" s="89">
        <f t="shared" si="47"/>
        <v>5658</v>
      </c>
      <c r="I571" s="89">
        <f t="shared" si="47"/>
        <v>2626.44</v>
      </c>
      <c r="J571" s="89">
        <f t="shared" si="47"/>
        <v>299.24</v>
      </c>
      <c r="K571" s="89">
        <f t="shared" si="47"/>
        <v>0</v>
      </c>
      <c r="L571" s="89">
        <f t="shared" si="47"/>
        <v>114774.28</v>
      </c>
      <c r="M571" s="8"/>
      <c r="N571" s="269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69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31885.17</v>
      </c>
      <c r="I575" s="87">
        <f>SUM(F575:H575)</f>
        <v>31885.17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>
        <v>0</v>
      </c>
      <c r="H579" s="18">
        <v>5658</v>
      </c>
      <c r="I579" s="87">
        <f t="shared" si="48"/>
        <v>5658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5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5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45861.27</v>
      </c>
      <c r="G582" s="18">
        <v>14030.09</v>
      </c>
      <c r="H582" s="18">
        <v>73312.03</v>
      </c>
      <c r="I582" s="87">
        <f t="shared" si="48"/>
        <v>133203.39000000001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145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24725.4</v>
      </c>
      <c r="I584" s="87">
        <f t="shared" si="48"/>
        <v>24725.4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69"/>
    </row>
    <row r="588" spans="1:14" s="3" customFormat="1" ht="12" customHeight="1" x14ac:dyDescent="0.15">
      <c r="A588" s="171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146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69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69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109263.93999999999</v>
      </c>
      <c r="I591" s="18">
        <v>42785.570000000007</v>
      </c>
      <c r="J591" s="18">
        <v>64178.359999999993</v>
      </c>
      <c r="K591" s="104">
        <f t="shared" ref="K591:K597" si="49">SUM(H591:J591)</f>
        <v>216227.87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50016.079999999994</v>
      </c>
      <c r="I592" s="18">
        <v>1819.8100000000002</v>
      </c>
      <c r="J592" s="18">
        <v>2729.7100000000005</v>
      </c>
      <c r="K592" s="104">
        <f t="shared" si="49"/>
        <v>54565.599999999991</v>
      </c>
      <c r="L592" s="24" t="s">
        <v>289</v>
      </c>
      <c r="M592" s="8"/>
      <c r="N592" s="269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23738.7</v>
      </c>
      <c r="K593" s="104">
        <f t="shared" si="49"/>
        <v>23738.7</v>
      </c>
      <c r="L593" s="24" t="s">
        <v>289</v>
      </c>
      <c r="M593" s="8"/>
      <c r="N593" s="269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57109.599999999999</v>
      </c>
      <c r="K594" s="104">
        <f t="shared" si="49"/>
        <v>57109.599999999999</v>
      </c>
      <c r="L594" s="24" t="s">
        <v>289</v>
      </c>
      <c r="M594" s="8"/>
      <c r="N594" s="269"/>
    </row>
    <row r="595" spans="1:14" s="3" customFormat="1" ht="12" customHeight="1" x14ac:dyDescent="0.15">
      <c r="A595" s="169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9352</v>
      </c>
      <c r="I595" s="18">
        <v>0</v>
      </c>
      <c r="J595" s="18">
        <v>8895.75</v>
      </c>
      <c r="K595" s="104">
        <f t="shared" si="49"/>
        <v>18247.75</v>
      </c>
      <c r="L595" s="24" t="s">
        <v>289</v>
      </c>
      <c r="M595" s="8"/>
      <c r="N595" s="269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9"/>
        <v>0</v>
      </c>
      <c r="L596" s="24" t="s">
        <v>289</v>
      </c>
      <c r="M596" s="8"/>
      <c r="N596" s="269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9"/>
        <v>0</v>
      </c>
      <c r="L597" s="24" t="s">
        <v>289</v>
      </c>
      <c r="M597" s="8"/>
      <c r="N597" s="269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7">
        <v>2700</v>
      </c>
      <c r="G598" s="148" t="s">
        <v>97</v>
      </c>
      <c r="H598" s="108">
        <f>SUM(H591:H597)</f>
        <v>168632.02</v>
      </c>
      <c r="I598" s="108">
        <f>SUM(I591:I597)</f>
        <v>44605.380000000005</v>
      </c>
      <c r="J598" s="108">
        <f>SUM(J591:J597)</f>
        <v>156652.12</v>
      </c>
      <c r="K598" s="108">
        <f>SUM(K591:K597)</f>
        <v>369889.51999999996</v>
      </c>
      <c r="L598" s="24" t="s">
        <v>289</v>
      </c>
      <c r="M598" s="8"/>
      <c r="N598" s="269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69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69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69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146945.83000000002</v>
      </c>
      <c r="I604" s="18">
        <v>31508.42</v>
      </c>
      <c r="J604" s="18">
        <v>100962.15</v>
      </c>
      <c r="K604" s="104">
        <f>SUM(H604:J604)</f>
        <v>279416.40000000002</v>
      </c>
      <c r="L604" s="24" t="s">
        <v>289</v>
      </c>
      <c r="M604" s="8"/>
      <c r="N604" s="269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8" t="s">
        <v>477</v>
      </c>
      <c r="G605" s="147">
        <v>700</v>
      </c>
      <c r="H605" s="108">
        <f>SUM(H602:H604)</f>
        <v>146945.83000000002</v>
      </c>
      <c r="I605" s="108">
        <f>SUM(I602:I604)</f>
        <v>31508.42</v>
      </c>
      <c r="J605" s="108">
        <f>SUM(J602:J604)</f>
        <v>100962.15</v>
      </c>
      <c r="K605" s="108">
        <f>SUM(K602:K604)</f>
        <v>279416.40000000002</v>
      </c>
      <c r="L605" s="24" t="s">
        <v>289</v>
      </c>
      <c r="M605" s="8"/>
      <c r="N605" s="269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69"/>
    </row>
    <row r="609" spans="1:14" s="3" customFormat="1" ht="12" customHeight="1" x14ac:dyDescent="0.15">
      <c r="B609" s="105"/>
      <c r="C609" s="105"/>
      <c r="D609" s="105"/>
      <c r="E609" s="105"/>
      <c r="F609" s="175" t="s">
        <v>693</v>
      </c>
      <c r="G609" s="175" t="s">
        <v>694</v>
      </c>
      <c r="H609" s="175" t="s">
        <v>695</v>
      </c>
      <c r="I609" s="175" t="s">
        <v>696</v>
      </c>
      <c r="J609" s="175" t="s">
        <v>697</v>
      </c>
      <c r="K609" s="175" t="s">
        <v>698</v>
      </c>
      <c r="L609" s="88"/>
      <c r="M609" s="8"/>
      <c r="N609" s="269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69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14112.640000000001</v>
      </c>
      <c r="G611" s="18">
        <v>2410.7000000000003</v>
      </c>
      <c r="H611" s="18">
        <v>2300</v>
      </c>
      <c r="I611" s="18">
        <v>0</v>
      </c>
      <c r="J611" s="18">
        <v>0</v>
      </c>
      <c r="K611" s="18">
        <v>0</v>
      </c>
      <c r="L611" s="88">
        <f>SUM(F611:K611)</f>
        <v>18823.34</v>
      </c>
      <c r="M611" s="8"/>
      <c r="N611" s="269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24179.11</v>
      </c>
      <c r="G612" s="18">
        <v>4862.82</v>
      </c>
      <c r="H612" s="18">
        <v>0</v>
      </c>
      <c r="I612" s="18">
        <v>50</v>
      </c>
      <c r="J612" s="18">
        <v>0</v>
      </c>
      <c r="K612" s="18">
        <v>0</v>
      </c>
      <c r="L612" s="88">
        <f>SUM(F612:K612)</f>
        <v>29091.93</v>
      </c>
      <c r="M612" s="8"/>
      <c r="N612" s="269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267</v>
      </c>
      <c r="G613" s="18">
        <v>58.239999999999995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325.24</v>
      </c>
      <c r="M613" s="8"/>
      <c r="N613" s="269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38558.75</v>
      </c>
      <c r="G614" s="108">
        <f t="shared" si="50"/>
        <v>7331.76</v>
      </c>
      <c r="H614" s="108">
        <f t="shared" si="50"/>
        <v>2300</v>
      </c>
      <c r="I614" s="108">
        <f t="shared" si="50"/>
        <v>50</v>
      </c>
      <c r="J614" s="108">
        <f t="shared" si="50"/>
        <v>0</v>
      </c>
      <c r="K614" s="108">
        <f t="shared" si="50"/>
        <v>0</v>
      </c>
      <c r="L614" s="89">
        <f t="shared" si="50"/>
        <v>48240.51</v>
      </c>
      <c r="M614" s="8"/>
      <c r="N614" s="269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49" t="s">
        <v>53</v>
      </c>
      <c r="G616" s="150"/>
      <c r="H616" s="150"/>
      <c r="I616" s="149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1504300.9400000002</v>
      </c>
      <c r="H617" s="109">
        <f>SUM(F52)</f>
        <v>1504300.9400000002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13385.419999999998</v>
      </c>
      <c r="H618" s="109">
        <f>SUM(G52)</f>
        <v>13385.419999999998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-802.56000000002678</v>
      </c>
      <c r="H619" s="109">
        <f>SUM(H52)</f>
        <v>-802.56</v>
      </c>
      <c r="I619" s="121" t="s">
        <v>893</v>
      </c>
      <c r="J619" s="109">
        <f>G619-H619</f>
        <v>-2.6830093702301383E-11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20326.120000000003</v>
      </c>
      <c r="H620" s="109">
        <f>SUM(I52)</f>
        <v>20326.120000000003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782001.7699999999</v>
      </c>
      <c r="H621" s="109">
        <f>SUM(J52)</f>
        <v>782001.7699999999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1242148.6800000002</v>
      </c>
      <c r="H622" s="109">
        <f>F476</f>
        <v>1242148.6800000016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6335.1299999999992</v>
      </c>
      <c r="H623" s="109">
        <f>G476</f>
        <v>6335.1300000000047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20326.120000000003</v>
      </c>
      <c r="H625" s="109">
        <f>I476</f>
        <v>20326.12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782001.7699999999</v>
      </c>
      <c r="H626" s="109">
        <f>J476</f>
        <v>782001.77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14776430.330000002</v>
      </c>
      <c r="H627" s="104">
        <f>SUM(F468)</f>
        <v>14776430.330000002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453807.18999999994</v>
      </c>
      <c r="H628" s="104">
        <f>SUM(G468)</f>
        <v>453807.18999999994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610421.42000000004</v>
      </c>
      <c r="H629" s="104">
        <f>SUM(H468)</f>
        <v>610421.42000000004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7649.26</v>
      </c>
      <c r="H630" s="104">
        <f>SUM(I468)</f>
        <v>7649.26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144093.19</v>
      </c>
      <c r="H631" s="104">
        <f>SUM(J468)</f>
        <v>144093.19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14715992.91</v>
      </c>
      <c r="H632" s="104">
        <f>SUM(F472)</f>
        <v>14715992.91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610421.41999999993</v>
      </c>
      <c r="H633" s="104">
        <f>SUM(H472)</f>
        <v>610421.42000000016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162903.01</v>
      </c>
      <c r="H634" s="104">
        <f>I369</f>
        <v>162903.01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7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454051.03999999992</v>
      </c>
      <c r="H635" s="104">
        <f>SUM(G472)</f>
        <v>454051.03999999992</v>
      </c>
      <c r="I635" s="140" t="s">
        <v>114</v>
      </c>
      <c r="J635" s="109">
        <f t="shared" si="51"/>
        <v>0</v>
      </c>
      <c r="K635" s="85"/>
      <c r="L635" s="88"/>
      <c r="M635" s="166"/>
    </row>
    <row r="636" spans="1:13" s="167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6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478</v>
      </c>
      <c r="G637" s="150">
        <f>SUM(L408)</f>
        <v>144093.19</v>
      </c>
      <c r="H637" s="162">
        <f>SUM(J468)</f>
        <v>144093.19</v>
      </c>
      <c r="I637" s="163" t="s">
        <v>110</v>
      </c>
      <c r="J637" s="150">
        <f t="shared" si="51"/>
        <v>0</v>
      </c>
      <c r="K637" s="164"/>
      <c r="L637" s="165"/>
      <c r="M637" s="8"/>
    </row>
    <row r="638" spans="1:13" s="3" customFormat="1" ht="12" customHeight="1" x14ac:dyDescent="0.15">
      <c r="A638" s="159"/>
      <c r="B638" s="160"/>
      <c r="C638" s="160"/>
      <c r="D638" s="160"/>
      <c r="E638" s="160"/>
      <c r="F638" s="161" t="s">
        <v>479</v>
      </c>
      <c r="G638" s="150">
        <f>SUM(L434)</f>
        <v>0</v>
      </c>
      <c r="H638" s="162">
        <f>SUM(J472)</f>
        <v>0</v>
      </c>
      <c r="I638" s="163" t="s">
        <v>117</v>
      </c>
      <c r="J638" s="150">
        <f t="shared" si="51"/>
        <v>0</v>
      </c>
      <c r="K638" s="164"/>
      <c r="L638" s="165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782001.7699999999</v>
      </c>
      <c r="H639" s="104">
        <f>SUM(F461)</f>
        <v>782001.7699999999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782001.7699999999</v>
      </c>
      <c r="H642" s="104">
        <f>SUM(I461)</f>
        <v>782001.7699999999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459.46999999999997</v>
      </c>
      <c r="H644" s="104">
        <f>H408</f>
        <v>459.46999999999997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90000</v>
      </c>
      <c r="H645" s="104">
        <f>G408</f>
        <v>90000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144093.19</v>
      </c>
      <c r="H646" s="104">
        <f>L408</f>
        <v>144093.19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369889.51999999996</v>
      </c>
      <c r="H647" s="104">
        <f>L208+L226+L244</f>
        <v>369889.51999999996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279416.40000000002</v>
      </c>
      <c r="H648" s="104">
        <f>(J257+J338)-(J255+J336)</f>
        <v>279416.40000000002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168632.02</v>
      </c>
      <c r="H649" s="104">
        <f>H598</f>
        <v>168632.02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44605.380000000012</v>
      </c>
      <c r="H650" s="104">
        <f>I598</f>
        <v>44605.380000000005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156652.11999999997</v>
      </c>
      <c r="H651" s="104">
        <f>J598</f>
        <v>156652.12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104173.29</v>
      </c>
      <c r="H652" s="104">
        <f>K263+K345</f>
        <v>104173.29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7649.26</v>
      </c>
      <c r="H654" s="104">
        <f>K265+K346</f>
        <v>7649.26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90000</v>
      </c>
      <c r="H655" s="104">
        <f>K266+K347</f>
        <v>90000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7088226.3499999996</v>
      </c>
      <c r="G660" s="19">
        <f>(L229+L309+L359)</f>
        <v>1836873.2800000003</v>
      </c>
      <c r="H660" s="19">
        <f>(L247+L328+L360)</f>
        <v>5814796.1899999995</v>
      </c>
      <c r="I660" s="19">
        <f>SUM(F660:H660)</f>
        <v>14739895.819999998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79320.543446829237</v>
      </c>
      <c r="G661" s="19">
        <f>(L359/IF(SUM(L358:L360)=0,1,SUM(L358:L360))*(SUM(G97:G110)))</f>
        <v>0</v>
      </c>
      <c r="H661" s="19">
        <f>(L360/IF(SUM(L358:L360)=0,1,SUM(L358:L360))*(SUM(G97:G110)))</f>
        <v>83897.156553170746</v>
      </c>
      <c r="I661" s="19">
        <f>SUM(F661:H661)</f>
        <v>163217.69999999998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168632.02</v>
      </c>
      <c r="G662" s="19">
        <f>(L226+L306)-(J226+J306)</f>
        <v>44605.380000000012</v>
      </c>
      <c r="H662" s="19">
        <f>(L244+L325)-(J244+J325)</f>
        <v>156652.11999999997</v>
      </c>
      <c r="I662" s="19">
        <f>SUM(F662:H662)</f>
        <v>369889.51999999996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211630.44</v>
      </c>
      <c r="G663" s="197">
        <f>SUM(G575:G587)+SUM(I602:I604)+L612</f>
        <v>74630.44</v>
      </c>
      <c r="H663" s="197">
        <f>SUM(H575:H587)+SUM(J602:J604)+L613</f>
        <v>236867.99</v>
      </c>
      <c r="I663" s="19">
        <f>SUM(F663:H663)</f>
        <v>523128.87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6628643.3465531701</v>
      </c>
      <c r="G664" s="19">
        <f>G660-SUM(G661:G663)</f>
        <v>1717637.4600000002</v>
      </c>
      <c r="H664" s="19">
        <f>H660-SUM(H661:H663)</f>
        <v>5337378.9234468285</v>
      </c>
      <c r="I664" s="19">
        <f>I660-SUM(I661:I663)</f>
        <v>13683659.729999999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5">
        <v>387.79</v>
      </c>
      <c r="G665" s="245">
        <v>110.64</v>
      </c>
      <c r="H665" s="245">
        <v>210.96</v>
      </c>
      <c r="I665" s="19">
        <f>SUM(F665:H665)</f>
        <v>709.39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17093.38</v>
      </c>
      <c r="G667" s="19">
        <f>ROUND(G664/G665,2)</f>
        <v>15524.56</v>
      </c>
      <c r="H667" s="19">
        <f>ROUND(H664/H665,2)</f>
        <v>25300.43</v>
      </c>
      <c r="I667" s="19">
        <f>ROUND(I664/I665,2)</f>
        <v>19289.330000000002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25.72</v>
      </c>
      <c r="I670" s="19">
        <f>SUM(F670:H670)</f>
        <v>25.72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17093.38</v>
      </c>
      <c r="G672" s="19">
        <f>ROUND((G664+G669)/(G665+G670),2)</f>
        <v>15524.56</v>
      </c>
      <c r="H672" s="19">
        <f>ROUND((H664+H669)/(H665+H670),2)</f>
        <v>22551.03</v>
      </c>
      <c r="I672" s="19">
        <f>ROUND((I664+I669)/(I665+I670),2)</f>
        <v>18614.439999999999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P89" sqref="P8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785</v>
      </c>
      <c r="B1" s="230" t="str">
        <f>'DOE25'!A2</f>
        <v>Littleton School District - SAU 84</v>
      </c>
      <c r="C1" s="236" t="s">
        <v>839</v>
      </c>
    </row>
    <row r="2" spans="1:3" x14ac:dyDescent="0.2">
      <c r="A2" s="231"/>
      <c r="B2" s="230"/>
    </row>
    <row r="3" spans="1:3" x14ac:dyDescent="0.2">
      <c r="A3" s="274" t="s">
        <v>784</v>
      </c>
      <c r="B3" s="274"/>
      <c r="C3" s="274"/>
    </row>
    <row r="4" spans="1:3" x14ac:dyDescent="0.2">
      <c r="A4" s="234"/>
      <c r="B4" s="235" t="str">
        <f>'DOE25'!H1</f>
        <v>DOE 25  2014-2015</v>
      </c>
      <c r="C4" s="234"/>
    </row>
    <row r="5" spans="1:3" x14ac:dyDescent="0.2">
      <c r="A5" s="231"/>
      <c r="B5" s="230"/>
    </row>
    <row r="6" spans="1:3" x14ac:dyDescent="0.2">
      <c r="A6" s="225"/>
      <c r="B6" s="273" t="s">
        <v>783</v>
      </c>
      <c r="C6" s="273"/>
    </row>
    <row r="7" spans="1:3" x14ac:dyDescent="0.2">
      <c r="A7" s="237" t="s">
        <v>786</v>
      </c>
      <c r="B7" s="271" t="s">
        <v>782</v>
      </c>
      <c r="C7" s="272"/>
    </row>
    <row r="8" spans="1:3" x14ac:dyDescent="0.2">
      <c r="B8" s="226" t="s">
        <v>54</v>
      </c>
      <c r="C8" s="226" t="s">
        <v>776</v>
      </c>
    </row>
    <row r="9" spans="1:3" x14ac:dyDescent="0.2">
      <c r="A9" s="33" t="s">
        <v>777</v>
      </c>
      <c r="B9" s="227">
        <f>'DOE25'!F197+'DOE25'!F215+'DOE25'!F233+'DOE25'!F276+'DOE25'!F295+'DOE25'!F314</f>
        <v>3436124.89</v>
      </c>
      <c r="C9" s="227">
        <f>'DOE25'!G197+'DOE25'!G215+'DOE25'!G233+'DOE25'!G276+'DOE25'!G295+'DOE25'!G314</f>
        <v>1691098.35</v>
      </c>
    </row>
    <row r="10" spans="1:3" x14ac:dyDescent="0.2">
      <c r="A10" t="s">
        <v>779</v>
      </c>
      <c r="B10" s="238">
        <v>3368142.1800000006</v>
      </c>
      <c r="C10" s="238">
        <v>1657640.3499999999</v>
      </c>
    </row>
    <row r="11" spans="1:3" x14ac:dyDescent="0.2">
      <c r="A11" t="s">
        <v>780</v>
      </c>
      <c r="B11" s="238">
        <v>67982.710000000006</v>
      </c>
      <c r="C11" s="238">
        <v>33458</v>
      </c>
    </row>
    <row r="12" spans="1:3" x14ac:dyDescent="0.2">
      <c r="A12" t="s">
        <v>781</v>
      </c>
      <c r="B12" s="238">
        <v>0</v>
      </c>
      <c r="C12" s="238">
        <v>0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3436124.8900000006</v>
      </c>
      <c r="C13" s="229">
        <f>SUM(C10:C12)</f>
        <v>1691098.3499999999</v>
      </c>
    </row>
    <row r="14" spans="1:3" x14ac:dyDescent="0.2">
      <c r="B14" s="228"/>
      <c r="C14" s="228"/>
    </row>
    <row r="15" spans="1:3" x14ac:dyDescent="0.2">
      <c r="B15" s="273" t="s">
        <v>783</v>
      </c>
      <c r="C15" s="273"/>
    </row>
    <row r="16" spans="1:3" x14ac:dyDescent="0.2">
      <c r="A16" s="237" t="s">
        <v>787</v>
      </c>
      <c r="B16" s="271" t="s">
        <v>707</v>
      </c>
      <c r="C16" s="272"/>
    </row>
    <row r="17" spans="1:3" x14ac:dyDescent="0.2">
      <c r="B17" s="226" t="s">
        <v>54</v>
      </c>
      <c r="C17" s="226" t="s">
        <v>776</v>
      </c>
    </row>
    <row r="18" spans="1:3" x14ac:dyDescent="0.2">
      <c r="A18" s="33" t="s">
        <v>777</v>
      </c>
      <c r="B18" s="227">
        <f>'DOE25'!F198+'DOE25'!F216+'DOE25'!F234+'DOE25'!F277+'DOE25'!F296+'DOE25'!F315</f>
        <v>1528895.03</v>
      </c>
      <c r="C18" s="227">
        <f>'DOE25'!G198+'DOE25'!G216+'DOE25'!G234+'DOE25'!G277+'DOE25'!G296+'DOE25'!G315</f>
        <v>840092.66</v>
      </c>
    </row>
    <row r="19" spans="1:3" x14ac:dyDescent="0.2">
      <c r="A19" t="s">
        <v>779</v>
      </c>
      <c r="B19" s="238">
        <v>731329.48000000021</v>
      </c>
      <c r="C19" s="238">
        <v>401848.66000000038</v>
      </c>
    </row>
    <row r="20" spans="1:3" x14ac:dyDescent="0.2">
      <c r="A20" t="s">
        <v>780</v>
      </c>
      <c r="B20" s="238">
        <v>733659.3</v>
      </c>
      <c r="C20" s="238">
        <v>403129</v>
      </c>
    </row>
    <row r="21" spans="1:3" x14ac:dyDescent="0.2">
      <c r="A21" t="s">
        <v>781</v>
      </c>
      <c r="B21" s="238">
        <v>63906.25</v>
      </c>
      <c r="C21" s="238">
        <v>35115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1528895.0300000003</v>
      </c>
      <c r="C22" s="229">
        <f>SUM(C19:C21)</f>
        <v>840092.66000000038</v>
      </c>
    </row>
    <row r="23" spans="1:3" x14ac:dyDescent="0.2">
      <c r="B23" s="228"/>
      <c r="C23" s="228"/>
    </row>
    <row r="24" spans="1:3" x14ac:dyDescent="0.2">
      <c r="B24" s="273" t="s">
        <v>783</v>
      </c>
      <c r="C24" s="273"/>
    </row>
    <row r="25" spans="1:3" x14ac:dyDescent="0.2">
      <c r="A25" s="237" t="s">
        <v>788</v>
      </c>
      <c r="B25" s="271" t="s">
        <v>708</v>
      </c>
      <c r="C25" s="272"/>
    </row>
    <row r="26" spans="1:3" x14ac:dyDescent="0.2">
      <c r="B26" s="226" t="s">
        <v>54</v>
      </c>
      <c r="C26" s="226" t="s">
        <v>776</v>
      </c>
    </row>
    <row r="27" spans="1:3" x14ac:dyDescent="0.2">
      <c r="A27" s="33" t="s">
        <v>777</v>
      </c>
      <c r="B27" s="232">
        <f>'DOE25'!F199+'DOE25'!F217+'DOE25'!F235+'DOE25'!F278+'DOE25'!F297+'DOE25'!F316</f>
        <v>662225.39999999991</v>
      </c>
      <c r="C27" s="232">
        <f>'DOE25'!G199+'DOE25'!G217+'DOE25'!G235+'DOE25'!G278+'DOE25'!G297+'DOE25'!G316</f>
        <v>295780.89999999997</v>
      </c>
    </row>
    <row r="28" spans="1:3" x14ac:dyDescent="0.2">
      <c r="A28" t="s">
        <v>779</v>
      </c>
      <c r="B28" s="238">
        <v>611704.44999999995</v>
      </c>
      <c r="C28" s="238">
        <v>273215.90000000002</v>
      </c>
    </row>
    <row r="29" spans="1:3" x14ac:dyDescent="0.2">
      <c r="A29" t="s">
        <v>780</v>
      </c>
      <c r="B29" s="238">
        <v>50520.95</v>
      </c>
      <c r="C29" s="238">
        <v>22565</v>
      </c>
    </row>
    <row r="30" spans="1:3" x14ac:dyDescent="0.2">
      <c r="A30" t="s">
        <v>781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662225.39999999991</v>
      </c>
      <c r="C31" s="229">
        <f>SUM(C28:C30)</f>
        <v>295780.90000000002</v>
      </c>
    </row>
    <row r="33" spans="1:3" x14ac:dyDescent="0.2">
      <c r="B33" s="273" t="s">
        <v>783</v>
      </c>
      <c r="C33" s="273"/>
    </row>
    <row r="34" spans="1:3" x14ac:dyDescent="0.2">
      <c r="A34" s="237" t="s">
        <v>789</v>
      </c>
      <c r="B34" s="271" t="s">
        <v>709</v>
      </c>
      <c r="C34" s="272"/>
    </row>
    <row r="35" spans="1:3" x14ac:dyDescent="0.2">
      <c r="B35" s="226" t="s">
        <v>54</v>
      </c>
      <c r="C35" s="226" t="s">
        <v>776</v>
      </c>
    </row>
    <row r="36" spans="1:3" x14ac:dyDescent="0.2">
      <c r="A36" s="33" t="s">
        <v>777</v>
      </c>
      <c r="B36" s="233">
        <f>'DOE25'!F200+'DOE25'!F218+'DOE25'!F236+'DOE25'!F279+'DOE25'!F298+'DOE25'!F317</f>
        <v>133826.5</v>
      </c>
      <c r="C36" s="233">
        <f>'DOE25'!G200+'DOE25'!G218+'DOE25'!G236+'DOE25'!G279+'DOE25'!G298+'DOE25'!G317</f>
        <v>19382.239999999998</v>
      </c>
    </row>
    <row r="37" spans="1:3" x14ac:dyDescent="0.2">
      <c r="A37" t="s">
        <v>779</v>
      </c>
      <c r="B37" s="238">
        <v>133826.5</v>
      </c>
      <c r="C37" s="238">
        <v>19382.239999999998</v>
      </c>
    </row>
    <row r="38" spans="1:3" x14ac:dyDescent="0.2">
      <c r="A38" t="s">
        <v>780</v>
      </c>
      <c r="B38" s="238">
        <v>0</v>
      </c>
      <c r="C38" s="238">
        <v>0</v>
      </c>
    </row>
    <row r="39" spans="1:3" x14ac:dyDescent="0.2">
      <c r="A39" t="s">
        <v>781</v>
      </c>
      <c r="B39" s="238">
        <v>0</v>
      </c>
      <c r="C39" s="238">
        <v>0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133826.5</v>
      </c>
      <c r="C40" s="229">
        <f>SUM(C37:C39)</f>
        <v>19382.239999999998</v>
      </c>
    </row>
    <row r="41" spans="1:3" x14ac:dyDescent="0.2">
      <c r="B41" s="228"/>
      <c r="C41" s="228"/>
    </row>
    <row r="42" spans="1:3" x14ac:dyDescent="0.2">
      <c r="A42" s="33" t="s">
        <v>837</v>
      </c>
      <c r="B42" s="228"/>
      <c r="C42" s="228"/>
    </row>
    <row r="43" spans="1:3" x14ac:dyDescent="0.2">
      <c r="A43" t="s">
        <v>841</v>
      </c>
      <c r="B43" s="228"/>
      <c r="C43" s="228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1" t="s">
        <v>778</v>
      </c>
    </row>
    <row r="49" spans="1:1" x14ac:dyDescent="0.2">
      <c r="A49" s="265" t="s">
        <v>844</v>
      </c>
    </row>
    <row r="50" spans="1:1" x14ac:dyDescent="0.2">
      <c r="A50" s="265" t="s">
        <v>838</v>
      </c>
    </row>
    <row r="51" spans="1:1" x14ac:dyDescent="0.2">
      <c r="A51" s="265" t="s">
        <v>845</v>
      </c>
    </row>
    <row r="52" spans="1:1" x14ac:dyDescent="0.2">
      <c r="A52" s="266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P89" sqref="P89"/>
      <selection pane="bottomLeft" activeCell="P89" sqref="P8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79"/>
    </row>
    <row r="2" spans="1:9" x14ac:dyDescent="0.2">
      <c r="A2" s="33" t="s">
        <v>717</v>
      </c>
      <c r="B2" s="262" t="str">
        <f>'DOE25'!A2</f>
        <v>Littleton School District - SAU 84</v>
      </c>
      <c r="C2" s="179"/>
      <c r="D2" s="179" t="s">
        <v>792</v>
      </c>
      <c r="E2" s="179" t="s">
        <v>794</v>
      </c>
      <c r="F2" s="275" t="s">
        <v>821</v>
      </c>
      <c r="G2" s="276"/>
      <c r="H2" s="277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793</v>
      </c>
      <c r="E3" s="179" t="s">
        <v>795</v>
      </c>
      <c r="F3" s="239" t="s">
        <v>835</v>
      </c>
      <c r="G3" s="215" t="s">
        <v>59</v>
      </c>
      <c r="H3" s="240" t="s">
        <v>798</v>
      </c>
    </row>
    <row r="4" spans="1:9" x14ac:dyDescent="0.2">
      <c r="A4" s="248" t="s">
        <v>800</v>
      </c>
      <c r="B4" s="248" t="s">
        <v>816</v>
      </c>
      <c r="C4" s="248" t="s">
        <v>791</v>
      </c>
      <c r="D4" s="248" t="s">
        <v>817</v>
      </c>
      <c r="E4" s="248" t="s">
        <v>817</v>
      </c>
      <c r="F4" s="247" t="s">
        <v>797</v>
      </c>
      <c r="G4" s="248" t="s">
        <v>811</v>
      </c>
      <c r="H4" s="249" t="s">
        <v>799</v>
      </c>
    </row>
    <row r="5" spans="1:9" x14ac:dyDescent="0.2">
      <c r="A5" s="32">
        <v>1000</v>
      </c>
      <c r="B5" t="s">
        <v>195</v>
      </c>
      <c r="C5" s="243">
        <f t="shared" ref="C5:C19" si="0">SUM(D5:H5)</f>
        <v>8627250.9900000002</v>
      </c>
      <c r="D5" s="20">
        <f>SUM('DOE25'!L197:L200)+SUM('DOE25'!L215:L218)+SUM('DOE25'!L233:L236)-F5-G5</f>
        <v>8553816.120000001</v>
      </c>
      <c r="E5" s="241"/>
      <c r="F5" s="252">
        <f>SUM('DOE25'!J197:J200)+SUM('DOE25'!J215:J218)+SUM('DOE25'!J233:J236)</f>
        <v>47529.859999999993</v>
      </c>
      <c r="G5" s="53">
        <f>SUM('DOE25'!K197:K200)+SUM('DOE25'!K215:K218)+SUM('DOE25'!K233:K236)</f>
        <v>25905.01</v>
      </c>
      <c r="H5" s="256"/>
    </row>
    <row r="6" spans="1:9" x14ac:dyDescent="0.2">
      <c r="A6" s="32">
        <v>2100</v>
      </c>
      <c r="B6" t="s">
        <v>801</v>
      </c>
      <c r="C6" s="243">
        <f t="shared" si="0"/>
        <v>992551.7899999998</v>
      </c>
      <c r="D6" s="20">
        <f>'DOE25'!L202+'DOE25'!L220+'DOE25'!L238-F6-G6</f>
        <v>986057.75999999978</v>
      </c>
      <c r="E6" s="241"/>
      <c r="F6" s="252">
        <f>'DOE25'!J202+'DOE25'!J220+'DOE25'!J238</f>
        <v>1314</v>
      </c>
      <c r="G6" s="53">
        <f>'DOE25'!K202+'DOE25'!K220+'DOE25'!K238</f>
        <v>5180.0300000000007</v>
      </c>
      <c r="H6" s="256"/>
    </row>
    <row r="7" spans="1:9" x14ac:dyDescent="0.2">
      <c r="A7" s="32">
        <v>2200</v>
      </c>
      <c r="B7" t="s">
        <v>834</v>
      </c>
      <c r="C7" s="243">
        <f t="shared" si="0"/>
        <v>291671.08</v>
      </c>
      <c r="D7" s="20">
        <f>'DOE25'!L203+'DOE25'!L221+'DOE25'!L239-F7-G7</f>
        <v>271454.62</v>
      </c>
      <c r="E7" s="241"/>
      <c r="F7" s="252">
        <f>'DOE25'!J203+'DOE25'!J221+'DOE25'!J239</f>
        <v>740.78</v>
      </c>
      <c r="G7" s="53">
        <f>'DOE25'!K203+'DOE25'!K221+'DOE25'!K239</f>
        <v>19475.68</v>
      </c>
      <c r="H7" s="256"/>
    </row>
    <row r="8" spans="1:9" x14ac:dyDescent="0.2">
      <c r="A8" s="32">
        <v>2300</v>
      </c>
      <c r="B8" t="s">
        <v>802</v>
      </c>
      <c r="C8" s="243">
        <f t="shared" si="0"/>
        <v>277429.0500000001</v>
      </c>
      <c r="D8" s="241"/>
      <c r="E8" s="20">
        <f>'DOE25'!L204+'DOE25'!L222+'DOE25'!L240-F8-G8-D9-D11</f>
        <v>252976.81000000011</v>
      </c>
      <c r="F8" s="252">
        <f>'DOE25'!J204+'DOE25'!J222+'DOE25'!J240</f>
        <v>694.94</v>
      </c>
      <c r="G8" s="53">
        <f>'DOE25'!K204+'DOE25'!K222+'DOE25'!K240</f>
        <v>23757.3</v>
      </c>
      <c r="H8" s="256"/>
    </row>
    <row r="9" spans="1:9" x14ac:dyDescent="0.2">
      <c r="A9" s="32">
        <v>2310</v>
      </c>
      <c r="B9" t="s">
        <v>818</v>
      </c>
      <c r="C9" s="243">
        <f t="shared" si="0"/>
        <v>136999.35</v>
      </c>
      <c r="D9" s="242">
        <v>136999.35</v>
      </c>
      <c r="E9" s="241"/>
      <c r="F9" s="255"/>
      <c r="G9" s="253"/>
      <c r="H9" s="256"/>
    </row>
    <row r="10" spans="1:9" x14ac:dyDescent="0.2">
      <c r="A10" s="32">
        <v>2317</v>
      </c>
      <c r="B10" t="s">
        <v>819</v>
      </c>
      <c r="C10" s="243">
        <f t="shared" si="0"/>
        <v>17000</v>
      </c>
      <c r="D10" s="241"/>
      <c r="E10" s="242">
        <v>17000</v>
      </c>
      <c r="F10" s="255"/>
      <c r="G10" s="253"/>
      <c r="H10" s="256"/>
    </row>
    <row r="11" spans="1:9" x14ac:dyDescent="0.2">
      <c r="A11" s="32">
        <v>2321</v>
      </c>
      <c r="B11" t="s">
        <v>831</v>
      </c>
      <c r="C11" s="243">
        <f t="shared" si="0"/>
        <v>199455.69</v>
      </c>
      <c r="D11" s="242">
        <v>199455.69</v>
      </c>
      <c r="E11" s="241"/>
      <c r="F11" s="255"/>
      <c r="G11" s="253"/>
      <c r="H11" s="256"/>
    </row>
    <row r="12" spans="1:9" x14ac:dyDescent="0.2">
      <c r="A12" s="32">
        <v>2400</v>
      </c>
      <c r="B12" t="s">
        <v>715</v>
      </c>
      <c r="C12" s="243">
        <f t="shared" si="0"/>
        <v>797288.86999999988</v>
      </c>
      <c r="D12" s="20">
        <f>'DOE25'!L205+'DOE25'!L223+'DOE25'!L241-F12-G12</f>
        <v>764399.80999999982</v>
      </c>
      <c r="E12" s="241"/>
      <c r="F12" s="252">
        <f>'DOE25'!J205+'DOE25'!J223+'DOE25'!J241</f>
        <v>8280.81</v>
      </c>
      <c r="G12" s="53">
        <f>'DOE25'!K205+'DOE25'!K223+'DOE25'!K241</f>
        <v>24608.25</v>
      </c>
      <c r="H12" s="256"/>
    </row>
    <row r="13" spans="1:9" x14ac:dyDescent="0.2">
      <c r="A13" s="32">
        <v>2500</v>
      </c>
      <c r="B13" t="s">
        <v>803</v>
      </c>
      <c r="C13" s="243">
        <f t="shared" si="0"/>
        <v>197912.8</v>
      </c>
      <c r="D13" s="241"/>
      <c r="E13" s="20">
        <f>'DOE25'!L206+'DOE25'!L224+'DOE25'!L242-F13-G13</f>
        <v>196623.94</v>
      </c>
      <c r="F13" s="252">
        <f>'DOE25'!J206+'DOE25'!J224+'DOE25'!J242</f>
        <v>844.86</v>
      </c>
      <c r="G13" s="53">
        <f>'DOE25'!K206+'DOE25'!K224+'DOE25'!K242</f>
        <v>444</v>
      </c>
      <c r="H13" s="256"/>
    </row>
    <row r="14" spans="1:9" x14ac:dyDescent="0.2">
      <c r="A14" s="32">
        <v>2600</v>
      </c>
      <c r="B14" t="s">
        <v>832</v>
      </c>
      <c r="C14" s="243">
        <f t="shared" si="0"/>
        <v>1374062.97</v>
      </c>
      <c r="D14" s="20">
        <f>'DOE25'!L207+'DOE25'!L225+'DOE25'!L243-F14-G14</f>
        <v>1239665.49</v>
      </c>
      <c r="E14" s="241"/>
      <c r="F14" s="252">
        <f>'DOE25'!J207+'DOE25'!J225+'DOE25'!J243</f>
        <v>132453.57</v>
      </c>
      <c r="G14" s="53">
        <f>'DOE25'!K207+'DOE25'!K225+'DOE25'!K243</f>
        <v>1943.91</v>
      </c>
      <c r="H14" s="256"/>
    </row>
    <row r="15" spans="1:9" x14ac:dyDescent="0.2">
      <c r="A15" s="32">
        <v>2700</v>
      </c>
      <c r="B15" t="s">
        <v>804</v>
      </c>
      <c r="C15" s="243">
        <f t="shared" si="0"/>
        <v>369889.51999999996</v>
      </c>
      <c r="D15" s="20">
        <f>'DOE25'!L208+'DOE25'!L226+'DOE25'!L244-F15-G15</f>
        <v>369889.51999999996</v>
      </c>
      <c r="E15" s="241"/>
      <c r="F15" s="252">
        <f>'DOE25'!J208+'DOE25'!J226+'DOE25'!J244</f>
        <v>0</v>
      </c>
      <c r="G15" s="53">
        <f>'DOE25'!K208+'DOE25'!K226+'DOE25'!K244</f>
        <v>0</v>
      </c>
      <c r="H15" s="256"/>
    </row>
    <row r="16" spans="1:9" x14ac:dyDescent="0.2">
      <c r="A16" s="32">
        <v>2800</v>
      </c>
      <c r="B16" t="s">
        <v>805</v>
      </c>
      <c r="C16" s="243">
        <f t="shared" si="0"/>
        <v>410911.25</v>
      </c>
      <c r="D16" s="241"/>
      <c r="E16" s="20">
        <f>'DOE25'!L209+'DOE25'!L227+'DOE25'!L245-F16-G16</f>
        <v>330498.67000000004</v>
      </c>
      <c r="F16" s="252">
        <f>'DOE25'!J209+'DOE25'!J227+'DOE25'!J245</f>
        <v>80412.579999999987</v>
      </c>
      <c r="G16" s="53">
        <f>'DOE25'!K209+'DOE25'!K227+'DOE25'!K245</f>
        <v>0</v>
      </c>
      <c r="H16" s="256"/>
    </row>
    <row r="17" spans="1:8" x14ac:dyDescent="0.2">
      <c r="A17" s="32">
        <v>1600</v>
      </c>
      <c r="B17" t="s">
        <v>806</v>
      </c>
      <c r="C17" s="243">
        <f t="shared" si="0"/>
        <v>0</v>
      </c>
      <c r="D17" s="20">
        <f>'DOE25'!L251-F17-G17</f>
        <v>0</v>
      </c>
      <c r="E17" s="241"/>
      <c r="F17" s="252">
        <f>'DOE25'!J251</f>
        <v>0</v>
      </c>
      <c r="G17" s="53">
        <f>'DOE25'!K251</f>
        <v>0</v>
      </c>
      <c r="H17" s="256"/>
    </row>
    <row r="18" spans="1:8" x14ac:dyDescent="0.2">
      <c r="A18" s="32">
        <v>1700</v>
      </c>
      <c r="B18" t="s">
        <v>807</v>
      </c>
      <c r="C18" s="243">
        <f t="shared" si="0"/>
        <v>0</v>
      </c>
      <c r="D18" s="20">
        <f>'DOE25'!L252-F18-G18</f>
        <v>0</v>
      </c>
      <c r="E18" s="241"/>
      <c r="F18" s="252">
        <f>'DOE25'!J252</f>
        <v>0</v>
      </c>
      <c r="G18" s="53">
        <f>'DOE25'!K252</f>
        <v>0</v>
      </c>
      <c r="H18" s="256"/>
    </row>
    <row r="19" spans="1:8" x14ac:dyDescent="0.2">
      <c r="A19" s="32">
        <v>1800</v>
      </c>
      <c r="B19" t="s">
        <v>808</v>
      </c>
      <c r="C19" s="243">
        <f t="shared" si="0"/>
        <v>0</v>
      </c>
      <c r="D19" s="20">
        <f>'DOE25'!L253-F19-G19</f>
        <v>0</v>
      </c>
      <c r="E19" s="241"/>
      <c r="F19" s="252">
        <f>'DOE25'!J253</f>
        <v>0</v>
      </c>
      <c r="G19" s="53">
        <f>'DOE25'!K253</f>
        <v>0</v>
      </c>
      <c r="H19" s="256"/>
    </row>
    <row r="20" spans="1:8" x14ac:dyDescent="0.2">
      <c r="F20" s="257"/>
      <c r="G20" s="52"/>
      <c r="H20" s="258"/>
    </row>
    <row r="21" spans="1:8" x14ac:dyDescent="0.2">
      <c r="B21" s="33" t="s">
        <v>796</v>
      </c>
      <c r="F21" s="257"/>
      <c r="G21" s="52"/>
      <c r="H21" s="258"/>
    </row>
    <row r="22" spans="1:8" x14ac:dyDescent="0.2">
      <c r="A22" s="32">
        <v>4000</v>
      </c>
      <c r="B22" t="s">
        <v>833</v>
      </c>
      <c r="C22" s="243">
        <f>SUM(D22:H22)</f>
        <v>0</v>
      </c>
      <c r="D22" s="241"/>
      <c r="E22" s="241"/>
      <c r="F22" s="252">
        <f>'DOE25'!L255+'DOE25'!L336</f>
        <v>0</v>
      </c>
      <c r="G22" s="253"/>
      <c r="H22" s="256"/>
    </row>
    <row r="23" spans="1:8" x14ac:dyDescent="0.2">
      <c r="A23" s="32"/>
      <c r="F23" s="257"/>
      <c r="G23" s="52"/>
      <c r="H23" s="258"/>
    </row>
    <row r="24" spans="1:8" x14ac:dyDescent="0.2">
      <c r="A24" s="32"/>
      <c r="B24" s="33" t="s">
        <v>464</v>
      </c>
      <c r="F24" s="257"/>
      <c r="G24" s="52"/>
      <c r="H24" s="258"/>
    </row>
    <row r="25" spans="1:8" x14ac:dyDescent="0.2">
      <c r="A25" s="32" t="s">
        <v>809</v>
      </c>
      <c r="B25" t="s">
        <v>810</v>
      </c>
      <c r="C25" s="243">
        <f>SUM(D25:H25)</f>
        <v>838747</v>
      </c>
      <c r="D25" s="241"/>
      <c r="E25" s="241"/>
      <c r="F25" s="255"/>
      <c r="G25" s="253"/>
      <c r="H25" s="254">
        <f>'DOE25'!L260+'DOE25'!L261+'DOE25'!L341+'DOE25'!L342</f>
        <v>838747</v>
      </c>
    </row>
    <row r="26" spans="1:8" x14ac:dyDescent="0.2">
      <c r="A26" s="32"/>
      <c r="F26" s="257"/>
      <c r="G26" s="52"/>
      <c r="H26" s="258"/>
    </row>
    <row r="27" spans="1:8" x14ac:dyDescent="0.2">
      <c r="A27" s="32"/>
      <c r="B27" s="33" t="s">
        <v>812</v>
      </c>
      <c r="F27" s="257"/>
      <c r="G27" s="52"/>
      <c r="H27" s="258"/>
    </row>
    <row r="28" spans="1:8" x14ac:dyDescent="0.2">
      <c r="A28" s="32">
        <v>3100</v>
      </c>
      <c r="B28" t="s">
        <v>825</v>
      </c>
      <c r="F28" s="257"/>
      <c r="G28" s="52"/>
      <c r="H28" s="258"/>
    </row>
    <row r="29" spans="1:8" x14ac:dyDescent="0.2">
      <c r="A29" s="32"/>
      <c r="B29" t="s">
        <v>813</v>
      </c>
      <c r="C29" s="243">
        <f>SUM(D29:H29)</f>
        <v>302898.27999999991</v>
      </c>
      <c r="D29" s="20">
        <f>'DOE25'!L358+'DOE25'!L359+'DOE25'!L360-'DOE25'!I367-F29-G29</f>
        <v>302680.22999999992</v>
      </c>
      <c r="E29" s="241"/>
      <c r="F29" s="252">
        <f>'DOE25'!J358+'DOE25'!J359+'DOE25'!J360</f>
        <v>0</v>
      </c>
      <c r="G29" s="53">
        <f>'DOE25'!K358+'DOE25'!K359+'DOE25'!K360</f>
        <v>218.05</v>
      </c>
      <c r="H29" s="256"/>
    </row>
    <row r="30" spans="1:8" x14ac:dyDescent="0.2">
      <c r="A30" s="32"/>
      <c r="D30" s="20"/>
      <c r="E30" s="241"/>
      <c r="F30" s="252"/>
      <c r="G30" s="53"/>
      <c r="H30" s="256"/>
    </row>
    <row r="31" spans="1:8" x14ac:dyDescent="0.2">
      <c r="A31" s="32" t="s">
        <v>827</v>
      </c>
      <c r="B31" t="s">
        <v>826</v>
      </c>
      <c r="C31" s="243">
        <f>SUM(D31:H31)</f>
        <v>610421.41999999993</v>
      </c>
      <c r="D31" s="20">
        <f>'DOE25'!L290+'DOE25'!L309+'DOE25'!L328+'DOE25'!L333+'DOE25'!L334+'DOE25'!L335-F31-G31</f>
        <v>579838.73999999987</v>
      </c>
      <c r="E31" s="241"/>
      <c r="F31" s="252">
        <f>'DOE25'!J290+'DOE25'!J309+'DOE25'!J328+'DOE25'!J333+'DOE25'!J334+'DOE25'!J335</f>
        <v>7145</v>
      </c>
      <c r="G31" s="53">
        <f>'DOE25'!K290+'DOE25'!K309+'DOE25'!K328+'DOE25'!K333+'DOE25'!K334+'DOE25'!K335</f>
        <v>23437.68</v>
      </c>
      <c r="H31" s="256"/>
    </row>
    <row r="32" spans="1:8" ht="12" thickBot="1" x14ac:dyDescent="0.25">
      <c r="F32" s="259"/>
      <c r="G32" s="250"/>
      <c r="H32" s="260"/>
    </row>
    <row r="33" spans="2:8" ht="12" thickTop="1" x14ac:dyDescent="0.2">
      <c r="B33" t="s">
        <v>814</v>
      </c>
      <c r="D33" s="244">
        <f>SUM(D5:D31)</f>
        <v>13404257.33</v>
      </c>
      <c r="E33" s="244">
        <f>SUM(E5:E31)</f>
        <v>797099.42000000016</v>
      </c>
      <c r="F33" s="244">
        <f>SUM(F5:F31)</f>
        <v>279416.40000000002</v>
      </c>
      <c r="G33" s="244">
        <f>SUM(G5:G31)</f>
        <v>124969.91</v>
      </c>
      <c r="H33" s="244">
        <f>SUM(H5:H31)</f>
        <v>838747</v>
      </c>
    </row>
    <row r="35" spans="2:8" ht="12" thickBot="1" x14ac:dyDescent="0.25">
      <c r="B35" s="250" t="s">
        <v>847</v>
      </c>
      <c r="D35" s="251">
        <f>E33</f>
        <v>797099.42000000016</v>
      </c>
      <c r="E35" s="246"/>
    </row>
    <row r="36" spans="2:8" ht="12" thickTop="1" x14ac:dyDescent="0.2">
      <c r="B36" t="s">
        <v>815</v>
      </c>
      <c r="D36" s="20">
        <f>D33</f>
        <v>13404257.33</v>
      </c>
    </row>
    <row r="38" spans="2:8" x14ac:dyDescent="0.2">
      <c r="B38" s="185" t="s">
        <v>907</v>
      </c>
      <c r="C38" s="263"/>
      <c r="D38" s="264"/>
    </row>
    <row r="39" spans="2:8" x14ac:dyDescent="0.2">
      <c r="B39" t="s">
        <v>824</v>
      </c>
      <c r="D39" s="179" t="str">
        <f>IF(E10&gt;0,"Y","N")</f>
        <v>Y</v>
      </c>
    </row>
    <row r="41" spans="2:8" x14ac:dyDescent="0.2">
      <c r="B41" s="261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P89" sqref="P89"/>
      <selection pane="bottomLeft" activeCell="P89" sqref="P8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Littleton School District - SAU 84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1278636.3600000001</v>
      </c>
      <c r="D8" s="95">
        <f>'DOE25'!G9</f>
        <v>0</v>
      </c>
      <c r="E8" s="95">
        <f>'DOE25'!H9</f>
        <v>0</v>
      </c>
      <c r="F8" s="95">
        <f>'DOE25'!I9</f>
        <v>12677.01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692001.7699999999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127543.87000000002</v>
      </c>
      <c r="D11" s="95">
        <f>'DOE25'!G12</f>
        <v>-10411.67</v>
      </c>
      <c r="E11" s="95">
        <f>'DOE25'!H12</f>
        <v>-185099.64</v>
      </c>
      <c r="F11" s="95">
        <f>'DOE25'!I12</f>
        <v>7649.1100000000006</v>
      </c>
      <c r="G11" s="95">
        <f>'DOE25'!J12</f>
        <v>90000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8763.9699999999993</v>
      </c>
      <c r="D12" s="95">
        <f>'DOE25'!G13</f>
        <v>21740.94</v>
      </c>
      <c r="E12" s="95">
        <f>'DOE25'!H13</f>
        <v>184297.08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89356.74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2056.15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1504300.9400000002</v>
      </c>
      <c r="D18" s="41">
        <f>SUM(D8:D17)</f>
        <v>13385.419999999998</v>
      </c>
      <c r="E18" s="41">
        <f>SUM(E8:E17)</f>
        <v>-802.56000000002678</v>
      </c>
      <c r="F18" s="41">
        <f>SUM(F8:F17)</f>
        <v>20326.120000000003</v>
      </c>
      <c r="G18" s="41">
        <f>SUM(G8:G17)</f>
        <v>782001.7699999999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5000.1099999999997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107188.77</v>
      </c>
      <c r="D23" s="95">
        <f>'DOE25'!G24</f>
        <v>0</v>
      </c>
      <c r="E23" s="95">
        <f>'DOE25'!H24</f>
        <v>1288.71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146671.41</v>
      </c>
      <c r="D28" s="95">
        <f>'DOE25'!G29</f>
        <v>5918.49</v>
      </c>
      <c r="E28" s="95">
        <f>'DOE25'!H29</f>
        <v>-2091.29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3291.97</v>
      </c>
      <c r="D29" s="95">
        <f>'DOE25'!G30</f>
        <v>1131.8</v>
      </c>
      <c r="E29" s="95">
        <f>'DOE25'!H30</f>
        <v>0.02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262152.26</v>
      </c>
      <c r="D31" s="41">
        <f>SUM(D21:D30)</f>
        <v>7050.29</v>
      </c>
      <c r="E31" s="41">
        <f>SUM(E21:E30)</f>
        <v>-802.56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2056.15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1637.17</v>
      </c>
      <c r="D42" s="95">
        <f>'DOE25'!G43</f>
        <v>0</v>
      </c>
      <c r="E42" s="95">
        <f>'DOE25'!H43</f>
        <v>0</v>
      </c>
      <c r="F42" s="95">
        <f>'DOE25'!I43</f>
        <v>12676.86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202500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245787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4278.9799999999996</v>
      </c>
      <c r="E47" s="95">
        <f>'DOE25'!H48</f>
        <v>0</v>
      </c>
      <c r="F47" s="95">
        <f>'DOE25'!I48</f>
        <v>0</v>
      </c>
      <c r="G47" s="95">
        <f>'DOE25'!J48</f>
        <v>782001.7699999999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139557.87</v>
      </c>
      <c r="D48" s="95">
        <f>'DOE25'!G49</f>
        <v>0</v>
      </c>
      <c r="E48" s="95">
        <f>'DOE25'!H49</f>
        <v>0</v>
      </c>
      <c r="F48" s="95">
        <f>'DOE25'!I49</f>
        <v>7649.26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652666.64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1242148.6800000002</v>
      </c>
      <c r="D50" s="41">
        <f>SUM(D34:D49)</f>
        <v>6335.1299999999992</v>
      </c>
      <c r="E50" s="41">
        <f>SUM(E34:E49)</f>
        <v>0</v>
      </c>
      <c r="F50" s="41">
        <f>SUM(F34:F49)</f>
        <v>20326.120000000003</v>
      </c>
      <c r="G50" s="41">
        <f>SUM(G34:G49)</f>
        <v>782001.7699999999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1504300.9400000002</v>
      </c>
      <c r="D51" s="41">
        <f>D50+D31</f>
        <v>13385.419999999998</v>
      </c>
      <c r="E51" s="41">
        <f>E50+E31</f>
        <v>-802.56</v>
      </c>
      <c r="F51" s="41">
        <f>F50+F31</f>
        <v>20326.120000000003</v>
      </c>
      <c r="G51" s="41">
        <f>G50+G31</f>
        <v>782001.7699999999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8588104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210288.34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1108.08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459.46999999999997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149142.29999999999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332427.21999999997</v>
      </c>
      <c r="D61" s="95">
        <f>SUM('DOE25'!G98:G110)</f>
        <v>14075.4</v>
      </c>
      <c r="E61" s="95">
        <f>SUM('DOE25'!H98:H110)</f>
        <v>0</v>
      </c>
      <c r="F61" s="95">
        <f>SUM('DOE25'!I98:I110)</f>
        <v>0</v>
      </c>
      <c r="G61" s="95">
        <f>SUM('DOE25'!J98:J110)</f>
        <v>13408.43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543823.6399999999</v>
      </c>
      <c r="D62" s="130">
        <f>SUM(D57:D61)</f>
        <v>163217.69999999998</v>
      </c>
      <c r="E62" s="130">
        <f>SUM(E57:E61)</f>
        <v>0</v>
      </c>
      <c r="F62" s="130">
        <f>SUM(F57:F61)</f>
        <v>0</v>
      </c>
      <c r="G62" s="130">
        <f>SUM(G57:G61)</f>
        <v>13867.9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9131927.6400000006</v>
      </c>
      <c r="D63" s="22">
        <f>D56+D62</f>
        <v>163217.69999999998</v>
      </c>
      <c r="E63" s="22">
        <f>E56+E62</f>
        <v>0</v>
      </c>
      <c r="F63" s="22">
        <f>F56+F62</f>
        <v>0</v>
      </c>
      <c r="G63" s="22">
        <f>G56+G62</f>
        <v>13867.9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3693351.64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1243364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4936715.6400000006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220141.2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198354.63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24609.49</v>
      </c>
      <c r="E77" s="95">
        <f>SUM('DOE25'!H131:H135)</f>
        <v>0</v>
      </c>
      <c r="F77" s="95">
        <f>SUM('DOE25'!I131:I135)</f>
        <v>0</v>
      </c>
      <c r="G77" s="95">
        <f>SUM('DOE25'!J131:J135)</f>
        <v>40225.29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418495.83</v>
      </c>
      <c r="D78" s="130">
        <f>SUM(D72:D77)</f>
        <v>24609.49</v>
      </c>
      <c r="E78" s="130">
        <f>SUM(E72:E77)</f>
        <v>0</v>
      </c>
      <c r="F78" s="130">
        <f>SUM(F72:F77)</f>
        <v>0</v>
      </c>
      <c r="G78" s="130">
        <f>SUM(G72:G77)</f>
        <v>40225.29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5355211.4700000007</v>
      </c>
      <c r="D81" s="130">
        <f>SUM(D79:D80)+D78+D70</f>
        <v>24609.49</v>
      </c>
      <c r="E81" s="130">
        <f>SUM(E79:E80)+E78+E70</f>
        <v>0</v>
      </c>
      <c r="F81" s="130">
        <f>SUM(F79:F80)+F78+F70</f>
        <v>0</v>
      </c>
      <c r="G81" s="130">
        <f>SUM(G79:G80)+G78+G70</f>
        <v>40225.29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162478.31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125097.15</v>
      </c>
      <c r="D88" s="95">
        <f>SUM('DOE25'!G153:G161)</f>
        <v>161806.71</v>
      </c>
      <c r="E88" s="95">
        <f>SUM('DOE25'!H153:H161)</f>
        <v>610421.42000000004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1715.76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289291.21999999997</v>
      </c>
      <c r="D91" s="131">
        <f>SUM(D85:D90)</f>
        <v>161806.71</v>
      </c>
      <c r="E91" s="131">
        <f>SUM(E85:E90)</f>
        <v>610421.42000000004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104173.29</v>
      </c>
      <c r="E96" s="95">
        <f>'DOE25'!H179</f>
        <v>0</v>
      </c>
      <c r="F96" s="95">
        <f>'DOE25'!I179</f>
        <v>7649.26</v>
      </c>
      <c r="G96" s="95">
        <f>'DOE25'!J179</f>
        <v>90000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104173.29</v>
      </c>
      <c r="E103" s="86">
        <f>SUM(E93:E102)</f>
        <v>0</v>
      </c>
      <c r="F103" s="86">
        <f>SUM(F93:F102)</f>
        <v>7649.26</v>
      </c>
      <c r="G103" s="86">
        <f>SUM(G93:G102)</f>
        <v>90000</v>
      </c>
    </row>
    <row r="104" spans="1:7" ht="12.75" thickTop="1" thickBot="1" x14ac:dyDescent="0.25">
      <c r="A104" s="33" t="s">
        <v>765</v>
      </c>
      <c r="C104" s="86">
        <f>C63+C81+C91+C103</f>
        <v>14776430.330000002</v>
      </c>
      <c r="D104" s="86">
        <f>D63+D81+D91+D103</f>
        <v>453807.18999999994</v>
      </c>
      <c r="E104" s="86">
        <f>E63+E81+E91+E103</f>
        <v>610421.42000000004</v>
      </c>
      <c r="F104" s="86">
        <f>F63+F81+F91+F103</f>
        <v>7649.26</v>
      </c>
      <c r="G104" s="86">
        <f>G63+G81+G103</f>
        <v>144093.19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4989789.1000000006</v>
      </c>
      <c r="D109" s="24" t="s">
        <v>289</v>
      </c>
      <c r="E109" s="95">
        <f>('DOE25'!L276)+('DOE25'!L295)+('DOE25'!L314)</f>
        <v>344407.69999999995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2380356.3000000003</v>
      </c>
      <c r="D110" s="24" t="s">
        <v>289</v>
      </c>
      <c r="E110" s="95">
        <f>('DOE25'!L277)+('DOE25'!L296)+('DOE25'!L315)</f>
        <v>165202.12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1038005.0999999997</v>
      </c>
      <c r="D111" s="24" t="s">
        <v>289</v>
      </c>
      <c r="E111" s="95">
        <f>('DOE25'!L278)+('DOE25'!L297)+('DOE25'!L316)</f>
        <v>25151.73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219100.49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8627250.9900000002</v>
      </c>
      <c r="D115" s="86">
        <f>SUM(D109:D114)</f>
        <v>0</v>
      </c>
      <c r="E115" s="86">
        <f>SUM(E109:E114)</f>
        <v>534761.54999999993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992551.7899999998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291671.08</v>
      </c>
      <c r="D119" s="24" t="s">
        <v>289</v>
      </c>
      <c r="E119" s="95">
        <f>+('DOE25'!L282)+('DOE25'!L301)+('DOE25'!L320)</f>
        <v>75659.87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613884.09000000008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797288.86999999988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197912.8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1374062.97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369889.51999999996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410911.25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454051.03999999992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5048172.3699999992</v>
      </c>
      <c r="D128" s="86">
        <f>SUM(D118:D127)</f>
        <v>454051.03999999992</v>
      </c>
      <c r="E128" s="86">
        <f>SUM(E118:E127)</f>
        <v>75659.87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560000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278747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104173.29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7649.26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144093.19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-54093.19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1040569.55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14715992.91</v>
      </c>
      <c r="D145" s="86">
        <f>(D115+D128+D144)</f>
        <v>454051.03999999992</v>
      </c>
      <c r="E145" s="86">
        <f>(E115+E128+E144)</f>
        <v>610421.41999999993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2">
        <f>'DOE25'!F490</f>
        <v>20</v>
      </c>
      <c r="C151" s="152">
        <f>'DOE25'!G490</f>
        <v>17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28</v>
      </c>
      <c r="B152" s="151" t="str">
        <f>'DOE25'!F491</f>
        <v>08/02</v>
      </c>
      <c r="C152" s="151" t="str">
        <f>'DOE25'!G491</f>
        <v>06/10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6" t="s">
        <v>29</v>
      </c>
      <c r="B153" s="151" t="str">
        <f>'DOE25'!F492</f>
        <v>08/22</v>
      </c>
      <c r="C153" s="151" t="str">
        <f>'DOE25'!G492</f>
        <v>03/27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6000000</v>
      </c>
      <c r="C154" s="137">
        <f>'DOE25'!G493</f>
        <v>4160640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3.9</v>
      </c>
      <c r="C155" s="137">
        <f>'DOE25'!G494</f>
        <v>5.39</v>
      </c>
      <c r="D155" s="137" t="str">
        <f>'DOE25'!H494</f>
        <v>before Fed reimbursement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2700000</v>
      </c>
      <c r="C156" s="137">
        <f>'DOE25'!G495</f>
        <v>3380000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6080000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300000</v>
      </c>
      <c r="C158" s="137">
        <f>'DOE25'!G497</f>
        <v>260000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560000</v>
      </c>
    </row>
    <row r="159" spans="1:9" x14ac:dyDescent="0.2">
      <c r="A159" s="22" t="s">
        <v>35</v>
      </c>
      <c r="B159" s="137">
        <f>'DOE25'!F498</f>
        <v>2400000</v>
      </c>
      <c r="C159" s="137">
        <f>'DOE25'!G498</f>
        <v>3120000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5520000</v>
      </c>
    </row>
    <row r="160" spans="1:9" x14ac:dyDescent="0.2">
      <c r="A160" s="22" t="s">
        <v>36</v>
      </c>
      <c r="B160" s="137">
        <f>'DOE25'!F499</f>
        <v>321441</v>
      </c>
      <c r="C160" s="137">
        <f>'DOE25'!G499</f>
        <v>1009008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1330449</v>
      </c>
    </row>
    <row r="161" spans="1:7" x14ac:dyDescent="0.2">
      <c r="A161" s="22" t="s">
        <v>37</v>
      </c>
      <c r="B161" s="137">
        <f>'DOE25'!F500</f>
        <v>2721441</v>
      </c>
      <c r="C161" s="137">
        <f>'DOE25'!G500</f>
        <v>4129008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6850449</v>
      </c>
    </row>
    <row r="162" spans="1:7" x14ac:dyDescent="0.2">
      <c r="A162" s="22" t="s">
        <v>38</v>
      </c>
      <c r="B162" s="137">
        <f>'DOE25'!F501</f>
        <v>300000</v>
      </c>
      <c r="C162" s="137">
        <f>'DOE25'!G501</f>
        <v>260000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560000</v>
      </c>
    </row>
    <row r="163" spans="1:7" x14ac:dyDescent="0.2">
      <c r="A163" s="22" t="s">
        <v>39</v>
      </c>
      <c r="B163" s="137">
        <f>'DOE25'!F502</f>
        <v>91422</v>
      </c>
      <c r="C163" s="137">
        <f>'DOE25'!G502</f>
        <v>161161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252583</v>
      </c>
    </row>
    <row r="164" spans="1:7" x14ac:dyDescent="0.2">
      <c r="A164" s="22" t="s">
        <v>246</v>
      </c>
      <c r="B164" s="137">
        <f>'DOE25'!F503</f>
        <v>391422</v>
      </c>
      <c r="C164" s="137">
        <f>'DOE25'!G503</f>
        <v>421161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812583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P89" sqref="P8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5" t="s">
        <v>717</v>
      </c>
      <c r="B2" s="184" t="str">
        <f>'DOE25'!A2</f>
        <v>Littleton School District - SAU 84</v>
      </c>
    </row>
    <row r="3" spans="1:4" x14ac:dyDescent="0.2">
      <c r="B3" s="186" t="s">
        <v>908</v>
      </c>
    </row>
    <row r="4" spans="1:4" x14ac:dyDescent="0.2">
      <c r="B4" t="s">
        <v>61</v>
      </c>
      <c r="C4" s="177">
        <f>IF('DOE25'!F665+'DOE25'!F670=0,0,ROUND('DOE25'!F672,0))</f>
        <v>17093</v>
      </c>
    </row>
    <row r="5" spans="1:4" x14ac:dyDescent="0.2">
      <c r="B5" t="s">
        <v>704</v>
      </c>
      <c r="C5" s="177">
        <f>IF('DOE25'!G665+'DOE25'!G670=0,0,ROUND('DOE25'!G672,0))</f>
        <v>15525</v>
      </c>
    </row>
    <row r="6" spans="1:4" x14ac:dyDescent="0.2">
      <c r="B6" t="s">
        <v>62</v>
      </c>
      <c r="C6" s="177">
        <f>IF('DOE25'!H665+'DOE25'!H670=0,0,ROUND('DOE25'!H672,0))</f>
        <v>22551</v>
      </c>
    </row>
    <row r="7" spans="1:4" x14ac:dyDescent="0.2">
      <c r="B7" t="s">
        <v>705</v>
      </c>
      <c r="C7" s="177">
        <f>IF('DOE25'!I665+'DOE25'!I670=0,0,ROUND('DOE25'!I672,0))</f>
        <v>18614</v>
      </c>
    </row>
    <row r="9" spans="1:4" x14ac:dyDescent="0.2">
      <c r="A9" s="185" t="s">
        <v>94</v>
      </c>
      <c r="B9" s="186" t="s">
        <v>909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ROUND('DOE25'!L197+'DOE25'!L215+'DOE25'!L233+'DOE25'!L276+'DOE25'!L295+'DOE25'!L314,0)</f>
        <v>5334197</v>
      </c>
      <c r="D10" s="180">
        <f>ROUND((C10/$C$28)*100,1)</f>
        <v>35.9</v>
      </c>
    </row>
    <row r="11" spans="1:4" x14ac:dyDescent="0.2">
      <c r="A11">
        <v>1200</v>
      </c>
      <c r="B11" t="s">
        <v>707</v>
      </c>
      <c r="C11" s="177">
        <f>ROUND('DOE25'!L198+'DOE25'!L216+'DOE25'!L234+'DOE25'!L277+'DOE25'!L296+'DOE25'!L315,0)</f>
        <v>2545558</v>
      </c>
      <c r="D11" s="180">
        <f>ROUND((C11/$C$28)*100,1)</f>
        <v>17.100000000000001</v>
      </c>
    </row>
    <row r="12" spans="1:4" x14ac:dyDescent="0.2">
      <c r="A12">
        <v>1300</v>
      </c>
      <c r="B12" t="s">
        <v>708</v>
      </c>
      <c r="C12" s="177">
        <f>ROUND('DOE25'!L199+'DOE25'!L217+'DOE25'!L235+'DOE25'!L278+'DOE25'!L297+'DOE25'!L316,0)</f>
        <v>1063157</v>
      </c>
      <c r="D12" s="180">
        <f>ROUND((C12/$C$28)*100,1)</f>
        <v>7.2</v>
      </c>
    </row>
    <row r="13" spans="1:4" x14ac:dyDescent="0.2">
      <c r="A13">
        <v>1400</v>
      </c>
      <c r="B13" t="s">
        <v>709</v>
      </c>
      <c r="C13" s="177">
        <f>ROUND('DOE25'!L200+'DOE25'!L218+'DOE25'!L236+'DOE25'!L279+'DOE25'!L298+'DOE25'!L317,0)</f>
        <v>219100</v>
      </c>
      <c r="D13" s="180">
        <f>ROUND((C13/$C$28)*100,1)</f>
        <v>1.5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ROUND('DOE25'!L202+'DOE25'!L220+'DOE25'!L238+'DOE25'!L281+'DOE25'!L300+'DOE25'!L319,0)</f>
        <v>992552</v>
      </c>
      <c r="D15" s="180">
        <f t="shared" ref="D15:D27" si="0">ROUND((C15/$C$28)*100,1)</f>
        <v>6.7</v>
      </c>
    </row>
    <row r="16" spans="1:4" x14ac:dyDescent="0.2">
      <c r="A16">
        <v>2200</v>
      </c>
      <c r="B16" t="s">
        <v>711</v>
      </c>
      <c r="C16" s="177">
        <f>ROUND('DOE25'!L203+'DOE25'!L221+'DOE25'!L239+'DOE25'!L282+'DOE25'!L301+'DOE25'!L320,0)</f>
        <v>367331</v>
      </c>
      <c r="D16" s="180">
        <f t="shared" si="0"/>
        <v>2.5</v>
      </c>
    </row>
    <row r="17" spans="1:4" x14ac:dyDescent="0.2">
      <c r="A17" s="181" t="s">
        <v>727</v>
      </c>
      <c r="B17" t="s">
        <v>742</v>
      </c>
      <c r="C17" s="177">
        <f>ROUND('DOE25'!L204+'DOE25'!L209+'DOE25'!L222+'DOE25'!L227+'DOE25'!L240+'DOE25'!L245+'DOE25'!L283+'DOE25'!L288+'DOE25'!L302+'DOE25'!L307+'DOE25'!L321+'DOE25'!L326,0)</f>
        <v>1024795</v>
      </c>
      <c r="D17" s="180">
        <f t="shared" si="0"/>
        <v>6.9</v>
      </c>
    </row>
    <row r="18" spans="1:4" x14ac:dyDescent="0.2">
      <c r="A18">
        <v>2400</v>
      </c>
      <c r="B18" t="s">
        <v>715</v>
      </c>
      <c r="C18" s="177">
        <f>ROUND('DOE25'!L205+'DOE25'!L223+'DOE25'!L241+'DOE25'!L284+'DOE25'!L303+'DOE25'!L322,0)</f>
        <v>797289</v>
      </c>
      <c r="D18" s="180">
        <f t="shared" si="0"/>
        <v>5.4</v>
      </c>
    </row>
    <row r="19" spans="1:4" x14ac:dyDescent="0.2">
      <c r="A19">
        <v>2500</v>
      </c>
      <c r="B19" t="s">
        <v>712</v>
      </c>
      <c r="C19" s="177">
        <f>ROUND('DOE25'!L206+'DOE25'!L224+'DOE25'!L242+'DOE25'!L285+'DOE25'!L304+'DOE25'!L323,0)</f>
        <v>197913</v>
      </c>
      <c r="D19" s="180">
        <f t="shared" si="0"/>
        <v>1.3</v>
      </c>
    </row>
    <row r="20" spans="1:4" x14ac:dyDescent="0.2">
      <c r="A20">
        <v>2600</v>
      </c>
      <c r="B20" t="s">
        <v>713</v>
      </c>
      <c r="C20" s="177">
        <f>ROUND('DOE25'!L207+'DOE25'!L225+'DOE25'!L243+'DOE25'!L286+'DOE25'!L305+'DOE25'!L324,0)</f>
        <v>1374063</v>
      </c>
      <c r="D20" s="180">
        <f t="shared" si="0"/>
        <v>9.1999999999999993</v>
      </c>
    </row>
    <row r="21" spans="1:4" x14ac:dyDescent="0.2">
      <c r="A21">
        <v>2700</v>
      </c>
      <c r="B21" t="s">
        <v>714</v>
      </c>
      <c r="C21" s="177">
        <f>ROUND('DOE25'!L208+'DOE25'!L226+'DOE25'!L244+'DOE25'!L287+'DOE25'!L306+'DOE25'!L325,0)</f>
        <v>369890</v>
      </c>
      <c r="D21" s="180">
        <f t="shared" si="0"/>
        <v>2.5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720</v>
      </c>
      <c r="C25" s="177">
        <f>ROUND('DOE25'!L261+'DOE25'!L342,0)</f>
        <v>278747</v>
      </c>
      <c r="D25" s="180">
        <f t="shared" si="0"/>
        <v>1.9</v>
      </c>
    </row>
    <row r="26" spans="1:4" x14ac:dyDescent="0.2">
      <c r="A26" s="181" t="s">
        <v>721</v>
      </c>
      <c r="B26" t="s">
        <v>722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290833.30000000005</v>
      </c>
      <c r="D27" s="180">
        <f t="shared" si="0"/>
        <v>2</v>
      </c>
    </row>
    <row r="28" spans="1:4" x14ac:dyDescent="0.2">
      <c r="B28" s="185" t="s">
        <v>723</v>
      </c>
      <c r="C28" s="178">
        <f>SUM(C10:C27)</f>
        <v>14855425.300000001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ROUND('DOE25'!L255+'DOE25'!L336+'DOE25'!L374+'DOE25'!L375+'DOE25'!L376+'DOE25'!L377+'DOE25'!L378+'DOE25'!L379+'DOE25'!L380,0)</f>
        <v>0</v>
      </c>
    </row>
    <row r="30" spans="1:4" x14ac:dyDescent="0.2">
      <c r="B30" s="185" t="s">
        <v>729</v>
      </c>
      <c r="C30" s="178">
        <f>SUM(C28:C29)</f>
        <v>14855425.300000001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ROUND('DOE25'!L260+'DOE25'!L341,0)</f>
        <v>560000</v>
      </c>
    </row>
    <row r="34" spans="1:4" x14ac:dyDescent="0.2">
      <c r="A34" s="185" t="s">
        <v>94</v>
      </c>
      <c r="B34" s="186" t="s">
        <v>910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ROUND('DOE25'!F60+'DOE25'!G60+'DOE25'!H60+'DOE25'!I60+'DOE25'!J60,0)</f>
        <v>8588104</v>
      </c>
      <c r="D35" s="180">
        <f t="shared" ref="D35:D40" si="1">ROUND((C35/$C$41)*100,1)</f>
        <v>55</v>
      </c>
    </row>
    <row r="36" spans="1:4" x14ac:dyDescent="0.2">
      <c r="B36" s="183" t="s">
        <v>743</v>
      </c>
      <c r="C36" s="177">
        <f>SUM('DOE25'!F112:J112)-SUM('DOE25'!G97:G110)+('DOE25'!F174+'DOE25'!F175+'DOE25'!I174+'DOE25'!I175)-C35</f>
        <v>557691.54000000097</v>
      </c>
      <c r="D36" s="180">
        <f t="shared" si="1"/>
        <v>3.6</v>
      </c>
    </row>
    <row r="37" spans="1:4" x14ac:dyDescent="0.2">
      <c r="A37" s="181" t="s">
        <v>851</v>
      </c>
      <c r="B37" s="183" t="s">
        <v>732</v>
      </c>
      <c r="C37" s="177">
        <f>ROUND('DOE25'!F117+'DOE25'!F118,0)</f>
        <v>4936716</v>
      </c>
      <c r="D37" s="180">
        <f t="shared" si="1"/>
        <v>31.6</v>
      </c>
    </row>
    <row r="38" spans="1:4" x14ac:dyDescent="0.2">
      <c r="A38" s="181" t="s">
        <v>738</v>
      </c>
      <c r="B38" s="183" t="s">
        <v>733</v>
      </c>
      <c r="C38" s="177">
        <f>ROUND(SUM('DOE25'!F140:J140)-SUM('DOE25'!F117:F119),0)</f>
        <v>483331</v>
      </c>
      <c r="D38" s="180">
        <f t="shared" si="1"/>
        <v>3.1</v>
      </c>
    </row>
    <row r="39" spans="1:4" x14ac:dyDescent="0.2">
      <c r="A39">
        <v>4000</v>
      </c>
      <c r="B39" s="183" t="s">
        <v>734</v>
      </c>
      <c r="C39" s="177">
        <f>ROUND('DOE25'!F169+'DOE25'!G169+'DOE25'!H169+'DOE25'!I169,0)</f>
        <v>1061519</v>
      </c>
      <c r="D39" s="180">
        <f t="shared" si="1"/>
        <v>6.8</v>
      </c>
    </row>
    <row r="40" spans="1:4" x14ac:dyDescent="0.2">
      <c r="A40" s="181" t="s">
        <v>739</v>
      </c>
      <c r="B40" s="183" t="s">
        <v>735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15627361.540000001</v>
      </c>
      <c r="D41" s="182">
        <f>SUM(D35:D40)</f>
        <v>100.1</v>
      </c>
    </row>
    <row r="42" spans="1:4" x14ac:dyDescent="0.2">
      <c r="A42" s="181" t="s">
        <v>741</v>
      </c>
      <c r="B42" s="183" t="s">
        <v>737</v>
      </c>
      <c r="C42" s="177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P89" sqref="P89"/>
      <selection pane="bottomLeft" activeCell="P89" sqref="P8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1"/>
      <c r="K1" s="211"/>
      <c r="L1" s="211"/>
      <c r="M1" s="212"/>
    </row>
    <row r="2" spans="1:26" ht="12.75" x14ac:dyDescent="0.2">
      <c r="A2" s="290" t="s">
        <v>767</v>
      </c>
      <c r="B2" s="291"/>
      <c r="C2" s="291"/>
      <c r="D2" s="291"/>
      <c r="E2" s="291"/>
      <c r="F2" s="288" t="str">
        <f>'DOE25'!A2</f>
        <v>Littleton School District - SAU 84</v>
      </c>
      <c r="G2" s="289"/>
      <c r="H2" s="289"/>
      <c r="I2" s="289"/>
      <c r="J2" s="52"/>
      <c r="K2" s="52"/>
      <c r="L2" s="52"/>
      <c r="M2" s="213"/>
    </row>
    <row r="3" spans="1:26" x14ac:dyDescent="0.2">
      <c r="A3" s="214" t="s">
        <v>768</v>
      </c>
      <c r="B3" s="215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6"/>
      <c r="B4" s="217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6"/>
      <c r="B5" s="217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6"/>
      <c r="B6" s="217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6"/>
      <c r="B7" s="217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6"/>
      <c r="B8" s="217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6"/>
      <c r="B9" s="217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6"/>
      <c r="B10" s="217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6"/>
      <c r="B11" s="217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6"/>
      <c r="B12" s="217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6"/>
      <c r="B13" s="217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6"/>
      <c r="B14" s="217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6"/>
      <c r="B15" s="217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6"/>
      <c r="B16" s="217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6"/>
      <c r="B17" s="217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6"/>
      <c r="B18" s="217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6"/>
      <c r="B19" s="217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6"/>
      <c r="B20" s="217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6"/>
      <c r="B21" s="217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6"/>
      <c r="B22" s="217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6"/>
      <c r="B23" s="217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6"/>
      <c r="B24" s="217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6"/>
      <c r="B25" s="217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6"/>
      <c r="B26" s="217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6"/>
      <c r="B27" s="217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6"/>
      <c r="B28" s="217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6"/>
      <c r="B29" s="217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09"/>
      <c r="O29" s="209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5"/>
      <c r="AB29" s="205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5"/>
      <c r="AO29" s="205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5"/>
      <c r="BB29" s="205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5"/>
      <c r="BO29" s="205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5"/>
      <c r="CB29" s="205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5"/>
      <c r="CO29" s="205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5"/>
      <c r="DB29" s="205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5"/>
      <c r="DO29" s="205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5"/>
      <c r="EB29" s="205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5"/>
      <c r="EO29" s="205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5"/>
      <c r="FB29" s="205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5"/>
      <c r="FO29" s="205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5"/>
      <c r="GB29" s="205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5"/>
      <c r="GO29" s="205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5"/>
      <c r="HB29" s="205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5"/>
      <c r="HO29" s="205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5"/>
      <c r="IB29" s="205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5"/>
      <c r="IO29" s="205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6"/>
      <c r="B30" s="217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09"/>
      <c r="O30" s="209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5"/>
      <c r="AB30" s="205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5"/>
      <c r="AO30" s="205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5"/>
      <c r="BB30" s="205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5"/>
      <c r="BO30" s="205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5"/>
      <c r="CB30" s="205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5"/>
      <c r="CO30" s="205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5"/>
      <c r="DB30" s="205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5"/>
      <c r="DO30" s="205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5"/>
      <c r="EB30" s="205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5"/>
      <c r="EO30" s="205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5"/>
      <c r="FB30" s="205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5"/>
      <c r="FO30" s="205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5"/>
      <c r="GB30" s="205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5"/>
      <c r="GO30" s="205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5"/>
      <c r="HB30" s="205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5"/>
      <c r="HO30" s="205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5"/>
      <c r="IB30" s="205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5"/>
      <c r="IO30" s="205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6"/>
      <c r="B31" s="217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09"/>
      <c r="O31" s="209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5"/>
      <c r="AB31" s="205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5"/>
      <c r="AO31" s="205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5"/>
      <c r="BB31" s="205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5"/>
      <c r="BO31" s="205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5"/>
      <c r="CB31" s="205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5"/>
      <c r="CO31" s="205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5"/>
      <c r="DB31" s="205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5"/>
      <c r="DO31" s="205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5"/>
      <c r="EB31" s="205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5"/>
      <c r="EO31" s="205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5"/>
      <c r="FB31" s="205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5"/>
      <c r="FO31" s="205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5"/>
      <c r="GB31" s="205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5"/>
      <c r="GO31" s="205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5"/>
      <c r="HB31" s="205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5"/>
      <c r="HO31" s="205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5"/>
      <c r="IB31" s="205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5"/>
      <c r="IO31" s="205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6"/>
      <c r="B32" s="217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1"/>
      <c r="O32" s="221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6"/>
      <c r="AB32" s="217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6"/>
      <c r="AO32" s="217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6"/>
      <c r="BB32" s="217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6"/>
      <c r="BO32" s="217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6"/>
      <c r="CB32" s="217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6"/>
      <c r="CO32" s="217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6"/>
      <c r="DB32" s="217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6"/>
      <c r="DO32" s="217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6"/>
      <c r="EB32" s="217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6"/>
      <c r="EO32" s="217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6"/>
      <c r="FB32" s="217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6"/>
      <c r="FO32" s="217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6"/>
      <c r="GB32" s="217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6"/>
      <c r="GO32" s="217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6"/>
      <c r="HB32" s="217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6"/>
      <c r="HO32" s="217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6"/>
      <c r="IB32" s="217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6"/>
      <c r="IO32" s="217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6"/>
      <c r="B33" s="217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09"/>
      <c r="O38" s="209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5"/>
      <c r="AB38" s="205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5"/>
      <c r="AO38" s="205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5"/>
      <c r="BB38" s="205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5"/>
      <c r="BO38" s="205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5"/>
      <c r="CB38" s="205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5"/>
      <c r="CO38" s="205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5"/>
      <c r="DB38" s="205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5"/>
      <c r="DO38" s="205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5"/>
      <c r="EB38" s="205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5"/>
      <c r="EO38" s="205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5"/>
      <c r="FB38" s="205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5"/>
      <c r="FO38" s="205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5"/>
      <c r="GB38" s="205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5"/>
      <c r="GO38" s="205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5"/>
      <c r="HB38" s="205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5"/>
      <c r="HO38" s="205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5"/>
      <c r="IB38" s="205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5"/>
      <c r="IO38" s="205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6"/>
      <c r="B39" s="217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09"/>
      <c r="O39" s="209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5"/>
      <c r="AB39" s="205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5"/>
      <c r="AO39" s="205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5"/>
      <c r="BB39" s="205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5"/>
      <c r="BO39" s="205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5"/>
      <c r="CB39" s="205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5"/>
      <c r="CO39" s="205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5"/>
      <c r="DB39" s="205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5"/>
      <c r="DO39" s="205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5"/>
      <c r="EB39" s="205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5"/>
      <c r="EO39" s="205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5"/>
      <c r="FB39" s="205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5"/>
      <c r="FO39" s="205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5"/>
      <c r="GB39" s="205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5"/>
      <c r="GO39" s="205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5"/>
      <c r="HB39" s="205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5"/>
      <c r="HO39" s="205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5"/>
      <c r="IB39" s="205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5"/>
      <c r="IO39" s="205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6"/>
      <c r="B40" s="217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09"/>
      <c r="O40" s="209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5"/>
      <c r="AB40" s="205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5"/>
      <c r="AO40" s="205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5"/>
      <c r="BB40" s="205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5"/>
      <c r="BO40" s="205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5"/>
      <c r="CB40" s="205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5"/>
      <c r="CO40" s="205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5"/>
      <c r="DB40" s="205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5"/>
      <c r="DO40" s="205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5"/>
      <c r="EB40" s="205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5"/>
      <c r="EO40" s="205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5"/>
      <c r="FB40" s="205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5"/>
      <c r="FO40" s="205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5"/>
      <c r="GB40" s="205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5"/>
      <c r="GO40" s="205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5"/>
      <c r="HB40" s="205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5"/>
      <c r="HO40" s="205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5"/>
      <c r="IB40" s="205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5"/>
      <c r="IO40" s="205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6"/>
      <c r="B41" s="217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6"/>
      <c r="B51" s="217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6"/>
      <c r="B52" s="217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6"/>
      <c r="B53" s="217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6"/>
      <c r="B54" s="217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6"/>
      <c r="B55" s="217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6"/>
      <c r="B56" s="217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6"/>
      <c r="B57" s="217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6"/>
      <c r="B58" s="217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6"/>
      <c r="B59" s="217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6"/>
      <c r="B60" s="217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6"/>
      <c r="B61" s="217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6"/>
      <c r="B62" s="217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6"/>
      <c r="B63" s="217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6"/>
      <c r="B64" s="217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6"/>
      <c r="B65" s="217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6"/>
      <c r="B66" s="217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6"/>
      <c r="B67" s="217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6"/>
      <c r="B68" s="217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6"/>
      <c r="B69" s="217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18"/>
      <c r="B70" s="219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8" t="s">
        <v>768</v>
      </c>
      <c r="B73" s="208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09"/>
      <c r="B74" s="209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09"/>
      <c r="B75" s="209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09"/>
      <c r="B76" s="209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09"/>
      <c r="B77" s="209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09"/>
      <c r="B78" s="209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09"/>
      <c r="B79" s="209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09"/>
      <c r="B80" s="209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09"/>
      <c r="B81" s="209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09"/>
      <c r="B82" s="209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09"/>
      <c r="B83" s="209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09"/>
      <c r="B84" s="209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09"/>
      <c r="B85" s="209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09"/>
      <c r="B86" s="209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09"/>
      <c r="B87" s="209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09"/>
      <c r="B88" s="209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09"/>
      <c r="B89" s="209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09"/>
      <c r="B90" s="209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2015-10-02T17:06:18Z</cp:lastPrinted>
  <dcterms:created xsi:type="dcterms:W3CDTF">1997-12-04T19:04:30Z</dcterms:created>
  <dcterms:modified xsi:type="dcterms:W3CDTF">2015-11-25T18:43:26Z</dcterms:modified>
</cp:coreProperties>
</file>