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21" i="12" l="1"/>
  <c r="B20" i="12"/>
  <c r="B19" i="12"/>
  <c r="B12" i="12"/>
  <c r="B11" i="12"/>
  <c r="B10" i="12"/>
  <c r="H543" i="1"/>
  <c r="F358" i="1"/>
  <c r="J243" i="1"/>
  <c r="J593" i="1"/>
  <c r="J591" i="1"/>
  <c r="G613" i="1"/>
  <c r="G612" i="1"/>
  <c r="G611" i="1"/>
  <c r="I613" i="1"/>
  <c r="F613" i="1"/>
  <c r="F612" i="1"/>
  <c r="I611" i="1"/>
  <c r="F611" i="1"/>
  <c r="J595" i="1"/>
  <c r="J594" i="1"/>
  <c r="I595" i="1"/>
  <c r="I594" i="1"/>
  <c r="H595" i="1"/>
  <c r="H582" i="1"/>
  <c r="G582" i="1"/>
  <c r="F582" i="1"/>
  <c r="G564" i="1"/>
  <c r="G562" i="1"/>
  <c r="G568" i="1"/>
  <c r="G567" i="1"/>
  <c r="F568" i="1"/>
  <c r="F567" i="1"/>
  <c r="K568" i="1"/>
  <c r="K567" i="1"/>
  <c r="I568" i="1"/>
  <c r="I567" i="1"/>
  <c r="H568" i="1"/>
  <c r="H567" i="1"/>
  <c r="G532" i="1" l="1"/>
  <c r="G533" i="1"/>
  <c r="G531" i="1"/>
  <c r="G527" i="1"/>
  <c r="G528" i="1"/>
  <c r="G526" i="1"/>
  <c r="G523" i="1"/>
  <c r="G522" i="1"/>
  <c r="G521" i="1"/>
  <c r="H523" i="1" l="1"/>
  <c r="H522" i="1"/>
  <c r="H521" i="1"/>
  <c r="I523" i="1"/>
  <c r="F528" i="1"/>
  <c r="J523" i="1"/>
  <c r="F523" i="1"/>
  <c r="F533" i="1"/>
  <c r="I522" i="1"/>
  <c r="I521" i="1"/>
  <c r="F527" i="1"/>
  <c r="K522" i="1"/>
  <c r="J522" i="1"/>
  <c r="F522" i="1"/>
  <c r="F532" i="1"/>
  <c r="F526" i="1"/>
  <c r="K521" i="1"/>
  <c r="J521" i="1"/>
  <c r="F521" i="1"/>
  <c r="F531" i="1"/>
  <c r="H538" i="1" l="1"/>
  <c r="H537" i="1"/>
  <c r="H536" i="1"/>
  <c r="H542" i="1"/>
  <c r="H541" i="1"/>
  <c r="I528" i="1"/>
  <c r="I527" i="1"/>
  <c r="I526" i="1"/>
  <c r="H528" i="1"/>
  <c r="H527" i="1"/>
  <c r="H526" i="1"/>
  <c r="I533" i="1"/>
  <c r="I532" i="1"/>
  <c r="I531" i="1"/>
  <c r="H533" i="1"/>
  <c r="H532" i="1"/>
  <c r="H531" i="1"/>
  <c r="I233" i="1"/>
  <c r="J245" i="1"/>
  <c r="I245" i="1"/>
  <c r="H245" i="1"/>
  <c r="H244" i="1"/>
  <c r="K243" i="1"/>
  <c r="I243" i="1"/>
  <c r="H243" i="1"/>
  <c r="H242" i="1"/>
  <c r="H241" i="1"/>
  <c r="K240" i="1"/>
  <c r="J240" i="1"/>
  <c r="I240" i="1"/>
  <c r="H240" i="1"/>
  <c r="K239" i="1"/>
  <c r="J239" i="1"/>
  <c r="I239" i="1"/>
  <c r="H239" i="1"/>
  <c r="G239" i="1"/>
  <c r="I238" i="1"/>
  <c r="H238" i="1"/>
  <c r="J236" i="1"/>
  <c r="I236" i="1"/>
  <c r="I234" i="1"/>
  <c r="H234" i="1"/>
  <c r="J233" i="1"/>
  <c r="H233" i="1"/>
  <c r="I215" i="1"/>
  <c r="J227" i="1"/>
  <c r="I227" i="1"/>
  <c r="H227" i="1"/>
  <c r="H226" i="1"/>
  <c r="K225" i="1"/>
  <c r="J225" i="1"/>
  <c r="I225" i="1"/>
  <c r="H225" i="1"/>
  <c r="H224" i="1"/>
  <c r="H223" i="1"/>
  <c r="K222" i="1"/>
  <c r="J222" i="1"/>
  <c r="H222" i="1"/>
  <c r="K221" i="1"/>
  <c r="J221" i="1"/>
  <c r="I221" i="1"/>
  <c r="H221" i="1"/>
  <c r="G221" i="1"/>
  <c r="I220" i="1"/>
  <c r="H220" i="1"/>
  <c r="J218" i="1"/>
  <c r="I218" i="1"/>
  <c r="K216" i="1"/>
  <c r="I216" i="1"/>
  <c r="H216" i="1"/>
  <c r="H215" i="1"/>
  <c r="J209" i="1"/>
  <c r="I209" i="1"/>
  <c r="H209" i="1"/>
  <c r="H208" i="1"/>
  <c r="K207" i="1"/>
  <c r="I207" i="1"/>
  <c r="H207" i="1"/>
  <c r="H206" i="1"/>
  <c r="H205" i="1"/>
  <c r="K204" i="1"/>
  <c r="J204" i="1"/>
  <c r="I204" i="1"/>
  <c r="H204" i="1"/>
  <c r="K203" i="1"/>
  <c r="J203" i="1"/>
  <c r="I203" i="1"/>
  <c r="H203" i="1"/>
  <c r="G203" i="1"/>
  <c r="I202" i="1"/>
  <c r="H202" i="1"/>
  <c r="I200" i="1"/>
  <c r="K198" i="1"/>
  <c r="I198" i="1"/>
  <c r="H198" i="1"/>
  <c r="I197" i="1"/>
  <c r="K261" i="1" l="1"/>
  <c r="G209" i="1" l="1"/>
  <c r="G207" i="1"/>
  <c r="G206" i="1"/>
  <c r="G205" i="1"/>
  <c r="G204" i="1"/>
  <c r="H235" i="1" l="1"/>
  <c r="I241" i="1"/>
  <c r="K241" i="1"/>
  <c r="K238" i="1"/>
  <c r="I251" i="1"/>
  <c r="H251" i="1"/>
  <c r="K236" i="1"/>
  <c r="H236" i="1"/>
  <c r="J234" i="1"/>
  <c r="K233" i="1"/>
  <c r="K223" i="1"/>
  <c r="I223" i="1"/>
  <c r="K220" i="1"/>
  <c r="K218" i="1"/>
  <c r="H218" i="1"/>
  <c r="J216" i="1"/>
  <c r="J207" i="1"/>
  <c r="K205" i="1"/>
  <c r="I205" i="1"/>
  <c r="J198" i="1"/>
  <c r="H197" i="1"/>
  <c r="J197" i="1"/>
  <c r="F233" i="1"/>
  <c r="F243" i="1"/>
  <c r="F241" i="1"/>
  <c r="F239" i="1"/>
  <c r="F238" i="1"/>
  <c r="F236" i="1"/>
  <c r="F234" i="1"/>
  <c r="F227" i="1"/>
  <c r="F225" i="1"/>
  <c r="F223" i="1"/>
  <c r="F221" i="1"/>
  <c r="F220" i="1"/>
  <c r="F218" i="1"/>
  <c r="F216" i="1"/>
  <c r="F215" i="1"/>
  <c r="F209" i="1"/>
  <c r="F207" i="1"/>
  <c r="F206" i="1"/>
  <c r="F205" i="1"/>
  <c r="F203" i="1"/>
  <c r="F202" i="1"/>
  <c r="F200" i="1"/>
  <c r="F198" i="1"/>
  <c r="F197" i="1"/>
  <c r="F251" i="1"/>
  <c r="K422" i="1" l="1"/>
  <c r="G276" i="1"/>
  <c r="G333" i="1"/>
  <c r="I320" i="1"/>
  <c r="I333" i="1"/>
  <c r="F319" i="1"/>
  <c r="F296" i="1"/>
  <c r="F281" i="1"/>
  <c r="F277" i="1"/>
  <c r="K358" i="1" l="1"/>
  <c r="F360" i="1"/>
  <c r="F359" i="1"/>
  <c r="G97" i="1" l="1"/>
  <c r="F439" i="1" l="1"/>
  <c r="G24" i="1"/>
  <c r="G12" i="1"/>
  <c r="G14" i="1"/>
  <c r="F2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2" i="10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8" i="1" s="1"/>
  <c r="L320" i="1"/>
  <c r="E119" i="2" s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132" i="2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L250" i="1"/>
  <c r="L332" i="1"/>
  <c r="L254" i="1"/>
  <c r="L268" i="1"/>
  <c r="L269" i="1"/>
  <c r="L349" i="1"/>
  <c r="L350" i="1"/>
  <c r="I665" i="1"/>
  <c r="I670" i="1"/>
  <c r="F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C18" i="2" s="1"/>
  <c r="D11" i="2"/>
  <c r="E11" i="2"/>
  <c r="F11" i="2"/>
  <c r="F18" i="2" s="1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E31" i="2" s="1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C78" i="2" s="1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1" i="2"/>
  <c r="E111" i="2"/>
  <c r="E112" i="2"/>
  <c r="C113" i="2"/>
  <c r="E113" i="2"/>
  <c r="C114" i="2"/>
  <c r="D115" i="2"/>
  <c r="F115" i="2"/>
  <c r="G115" i="2"/>
  <c r="E120" i="2"/>
  <c r="E121" i="2"/>
  <c r="E122" i="2"/>
  <c r="E123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G408" i="1" s="1"/>
  <c r="H645" i="1" s="1"/>
  <c r="H393" i="1"/>
  <c r="I393" i="1"/>
  <c r="F401" i="1"/>
  <c r="G401" i="1"/>
  <c r="H401" i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L419" i="1" s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G461" i="1" s="1"/>
  <c r="H640" i="1" s="1"/>
  <c r="H460" i="1"/>
  <c r="F461" i="1"/>
  <c r="H461" i="1"/>
  <c r="F470" i="1"/>
  <c r="G470" i="1"/>
  <c r="H470" i="1"/>
  <c r="H476" i="1" s="1"/>
  <c r="H624" i="1" s="1"/>
  <c r="I470" i="1"/>
  <c r="J470" i="1"/>
  <c r="F474" i="1"/>
  <c r="F476" i="1" s="1"/>
  <c r="H622" i="1" s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F571" i="1" s="1"/>
  <c r="G570" i="1"/>
  <c r="H570" i="1"/>
  <c r="H571" i="1" s="1"/>
  <c r="I570" i="1"/>
  <c r="J570" i="1"/>
  <c r="K570" i="1"/>
  <c r="K571" i="1" s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9" i="1"/>
  <c r="G620" i="1"/>
  <c r="G622" i="1"/>
  <c r="G623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J639" i="1" s="1"/>
  <c r="H639" i="1"/>
  <c r="G641" i="1"/>
  <c r="H641" i="1"/>
  <c r="G643" i="1"/>
  <c r="H643" i="1"/>
  <c r="G644" i="1"/>
  <c r="G645" i="1"/>
  <c r="G650" i="1"/>
  <c r="G652" i="1"/>
  <c r="H652" i="1"/>
  <c r="G653" i="1"/>
  <c r="H653" i="1"/>
  <c r="G654" i="1"/>
  <c r="H654" i="1"/>
  <c r="H655" i="1"/>
  <c r="F192" i="1"/>
  <c r="C26" i="10"/>
  <c r="L351" i="1"/>
  <c r="A31" i="12"/>
  <c r="C70" i="2"/>
  <c r="A40" i="12"/>
  <c r="D18" i="13"/>
  <c r="C18" i="13" s="1"/>
  <c r="D17" i="13"/>
  <c r="C17" i="13" s="1"/>
  <c r="F78" i="2"/>
  <c r="F81" i="2" s="1"/>
  <c r="D31" i="2"/>
  <c r="E103" i="2"/>
  <c r="D91" i="2"/>
  <c r="G62" i="2"/>
  <c r="D19" i="13"/>
  <c r="C19" i="13" s="1"/>
  <c r="E78" i="2"/>
  <c r="E81" i="2" s="1"/>
  <c r="H112" i="1"/>
  <c r="J641" i="1"/>
  <c r="K605" i="1"/>
  <c r="G648" i="1" s="1"/>
  <c r="J571" i="1"/>
  <c r="L433" i="1"/>
  <c r="I169" i="1"/>
  <c r="J643" i="1"/>
  <c r="I476" i="1"/>
  <c r="H625" i="1" s="1"/>
  <c r="G476" i="1"/>
  <c r="H623" i="1" s="1"/>
  <c r="G338" i="1"/>
  <c r="G352" i="1" s="1"/>
  <c r="F169" i="1"/>
  <c r="J140" i="1"/>
  <c r="I552" i="1"/>
  <c r="G22" i="2"/>
  <c r="C29" i="10"/>
  <c r="H140" i="1"/>
  <c r="F22" i="13"/>
  <c r="H25" i="13"/>
  <c r="C25" i="13" s="1"/>
  <c r="L560" i="1"/>
  <c r="H338" i="1"/>
  <c r="H352" i="1" s="1"/>
  <c r="H192" i="1"/>
  <c r="C35" i="10"/>
  <c r="L309" i="1"/>
  <c r="J655" i="1"/>
  <c r="G36" i="2"/>
  <c r="C22" i="13"/>
  <c r="H33" i="13"/>
  <c r="G157" i="2" l="1"/>
  <c r="G156" i="2"/>
  <c r="A13" i="12"/>
  <c r="K598" i="1"/>
  <c r="G647" i="1" s="1"/>
  <c r="G651" i="1"/>
  <c r="L614" i="1"/>
  <c r="J651" i="1"/>
  <c r="I571" i="1"/>
  <c r="L570" i="1"/>
  <c r="L571" i="1" s="1"/>
  <c r="G545" i="1"/>
  <c r="G552" i="1"/>
  <c r="H545" i="1"/>
  <c r="K551" i="1"/>
  <c r="L544" i="1"/>
  <c r="K550" i="1"/>
  <c r="K549" i="1"/>
  <c r="L529" i="1"/>
  <c r="I545" i="1"/>
  <c r="H552" i="1"/>
  <c r="L534" i="1"/>
  <c r="F552" i="1"/>
  <c r="L524" i="1"/>
  <c r="E13" i="13"/>
  <c r="C13" i="13" s="1"/>
  <c r="E16" i="13"/>
  <c r="C16" i="13" s="1"/>
  <c r="C25" i="10"/>
  <c r="K500" i="1"/>
  <c r="G161" i="2"/>
  <c r="G164" i="2"/>
  <c r="K503" i="1"/>
  <c r="C125" i="2"/>
  <c r="C122" i="2"/>
  <c r="E8" i="13"/>
  <c r="C8" i="13" s="1"/>
  <c r="C21" i="10"/>
  <c r="C16" i="10"/>
  <c r="G257" i="1"/>
  <c r="G271" i="1" s="1"/>
  <c r="J257" i="1"/>
  <c r="J271" i="1" s="1"/>
  <c r="I662" i="1"/>
  <c r="K257" i="1"/>
  <c r="K271" i="1" s="1"/>
  <c r="I257" i="1"/>
  <c r="I271" i="1" s="1"/>
  <c r="H257" i="1"/>
  <c r="H271" i="1" s="1"/>
  <c r="D15" i="13"/>
  <c r="C15" i="13" s="1"/>
  <c r="G649" i="1"/>
  <c r="J649" i="1" s="1"/>
  <c r="H647" i="1"/>
  <c r="C124" i="2"/>
  <c r="C121" i="2"/>
  <c r="C119" i="2"/>
  <c r="C20" i="10"/>
  <c r="D7" i="13"/>
  <c r="C7" i="13" s="1"/>
  <c r="C118" i="2"/>
  <c r="C19" i="10"/>
  <c r="C17" i="10"/>
  <c r="C13" i="10"/>
  <c r="C123" i="2"/>
  <c r="D12" i="13"/>
  <c r="C12" i="13" s="1"/>
  <c r="C120" i="2"/>
  <c r="D6" i="13"/>
  <c r="C6" i="13" s="1"/>
  <c r="C18" i="10"/>
  <c r="C110" i="2"/>
  <c r="L247" i="1"/>
  <c r="H660" i="1" s="1"/>
  <c r="F257" i="1"/>
  <c r="F271" i="1" s="1"/>
  <c r="D14" i="13"/>
  <c r="C14" i="13" s="1"/>
  <c r="C112" i="2"/>
  <c r="L229" i="1"/>
  <c r="L211" i="1"/>
  <c r="C11" i="10"/>
  <c r="D5" i="13"/>
  <c r="C5" i="13" s="1"/>
  <c r="C109" i="2"/>
  <c r="J636" i="1"/>
  <c r="L393" i="1"/>
  <c r="C138" i="2" s="1"/>
  <c r="L401" i="1"/>
  <c r="C139" i="2" s="1"/>
  <c r="H408" i="1"/>
  <c r="H644" i="1" s="1"/>
  <c r="J644" i="1" s="1"/>
  <c r="J645" i="1"/>
  <c r="C10" i="10"/>
  <c r="J338" i="1"/>
  <c r="J352" i="1" s="1"/>
  <c r="E110" i="2"/>
  <c r="C15" i="10"/>
  <c r="F338" i="1"/>
  <c r="F352" i="1" s="1"/>
  <c r="L290" i="1"/>
  <c r="E115" i="2"/>
  <c r="E118" i="2"/>
  <c r="E128" i="2" s="1"/>
  <c r="J634" i="1"/>
  <c r="G661" i="1"/>
  <c r="F661" i="1"/>
  <c r="H661" i="1"/>
  <c r="L362" i="1"/>
  <c r="G635" i="1" s="1"/>
  <c r="J635" i="1" s="1"/>
  <c r="D29" i="13"/>
  <c r="C29" i="13" s="1"/>
  <c r="D127" i="2"/>
  <c r="D128" i="2" s="1"/>
  <c r="D145" i="2" s="1"/>
  <c r="D62" i="2"/>
  <c r="D63" i="2" s="1"/>
  <c r="C81" i="2"/>
  <c r="I446" i="1"/>
  <c r="G642" i="1" s="1"/>
  <c r="I460" i="1"/>
  <c r="I461" i="1" s="1"/>
  <c r="H642" i="1" s="1"/>
  <c r="J642" i="1" s="1"/>
  <c r="I52" i="1"/>
  <c r="H620" i="1" s="1"/>
  <c r="C62" i="2"/>
  <c r="C63" i="2" s="1"/>
  <c r="C104" i="2" s="1"/>
  <c r="F112" i="1"/>
  <c r="J640" i="1"/>
  <c r="G625" i="1"/>
  <c r="J625" i="1" s="1"/>
  <c r="G624" i="1"/>
  <c r="J624" i="1" s="1"/>
  <c r="J623" i="1"/>
  <c r="D18" i="2"/>
  <c r="J622" i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C36" i="10"/>
  <c r="G63" i="2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A22" i="12"/>
  <c r="G50" i="2"/>
  <c r="G51" i="2" s="1"/>
  <c r="J652" i="1"/>
  <c r="G571" i="1"/>
  <c r="I434" i="1"/>
  <c r="G434" i="1"/>
  <c r="I663" i="1"/>
  <c r="J647" i="1" l="1"/>
  <c r="K552" i="1"/>
  <c r="L545" i="1"/>
  <c r="E33" i="13"/>
  <c r="D35" i="13" s="1"/>
  <c r="C128" i="2"/>
  <c r="L257" i="1"/>
  <c r="L271" i="1" s="1"/>
  <c r="G632" i="1" s="1"/>
  <c r="J632" i="1" s="1"/>
  <c r="C115" i="2"/>
  <c r="G660" i="1"/>
  <c r="G664" i="1" s="1"/>
  <c r="G667" i="1" s="1"/>
  <c r="F660" i="1"/>
  <c r="F664" i="1" s="1"/>
  <c r="F667" i="1" s="1"/>
  <c r="L408" i="1"/>
  <c r="G637" i="1" s="1"/>
  <c r="J637" i="1" s="1"/>
  <c r="C141" i="2"/>
  <c r="C144" i="2" s="1"/>
  <c r="D31" i="13"/>
  <c r="C31" i="13" s="1"/>
  <c r="H648" i="1"/>
  <c r="J648" i="1" s="1"/>
  <c r="L338" i="1"/>
  <c r="L352" i="1" s="1"/>
  <c r="G633" i="1" s="1"/>
  <c r="J633" i="1" s="1"/>
  <c r="E145" i="2"/>
  <c r="I661" i="1"/>
  <c r="C27" i="10"/>
  <c r="C28" i="10" s="1"/>
  <c r="D23" i="10" s="1"/>
  <c r="H664" i="1"/>
  <c r="G104" i="2"/>
  <c r="I193" i="1"/>
  <c r="G630" i="1" s="1"/>
  <c r="J630" i="1" s="1"/>
  <c r="F193" i="1"/>
  <c r="G627" i="1" s="1"/>
  <c r="J627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G672" i="1"/>
  <c r="C5" i="10" s="1"/>
  <c r="I660" i="1"/>
  <c r="I664" i="1" s="1"/>
  <c r="I672" i="1" s="1"/>
  <c r="C7" i="10" s="1"/>
  <c r="H646" i="1"/>
  <c r="J646" i="1" s="1"/>
  <c r="D33" i="13"/>
  <c r="D36" i="13" s="1"/>
  <c r="F672" i="1"/>
  <c r="C4" i="10" s="1"/>
  <c r="D20" i="10"/>
  <c r="D17" i="10"/>
  <c r="D11" i="10"/>
  <c r="D12" i="10"/>
  <c r="D13" i="10"/>
  <c r="D19" i="10"/>
  <c r="D18" i="10"/>
  <c r="D25" i="10"/>
  <c r="D22" i="10"/>
  <c r="D27" i="10"/>
  <c r="D15" i="10"/>
  <c r="D21" i="10"/>
  <c r="D24" i="10"/>
  <c r="D10" i="10"/>
  <c r="D26" i="10"/>
  <c r="C30" i="10"/>
  <c r="D16" i="10"/>
  <c r="H672" i="1"/>
  <c r="C6" i="10" s="1"/>
  <c r="H667" i="1"/>
  <c r="C41" i="10"/>
  <c r="D38" i="10" s="1"/>
  <c r="H656" i="1" l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<sst xmlns="http://schemas.openxmlformats.org/spreadsheetml/2006/main" count="3965" uniqueCount="923">
  <si>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</si>
  <si>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</si>
  <si>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</si>
  <si>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</si>
  <si>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</si>
  <si>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</si>
  <si>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</si>
  <si>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</si>
  <si>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</si>
  <si>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</si>
  <si>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</si>
  <si>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</si>
  <si>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</si>
  <si>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</si>
  <si>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</si>
  <si>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</si>
  <si>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</si>
  <si>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</si>
  <si>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</si>
  <si>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</si>
  <si>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</si>
  <si>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</si>
  <si>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</si>
  <si>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</si>
  <si>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</si>
  <si>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</si>
  <si>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</si>
  <si>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</si>
  <si>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</si>
  <si>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</si>
  <si>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</si>
  <si>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</si>
  <si>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</si>
  <si>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</si>
  <si>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</si>
  <si>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</si>
  <si>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</si>
  <si>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</si>
  <si>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</si>
  <si>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</si>
  <si>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</si>
  <si>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</si>
  <si>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</si>
  <si>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</si>
  <si>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</si>
  <si>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</si>
  <si>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</si>
  <si>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</si>
  <si>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</si>
  <si>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</si>
  <si>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</si>
  <si>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</si>
  <si>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</si>
  <si>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</si>
  <si>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</si>
  <si>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</si>
  <si>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</si>
  <si>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</si>
  <si>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</si>
  <si>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</si>
  <si>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</si>
  <si>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</si>
  <si>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</si>
  <si>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</si>
  <si>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</si>
  <si>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</si>
  <si>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</si>
  <si>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</si>
  <si>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</si>
  <si>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</si>
  <si>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</si>
  <si>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</si>
  <si>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</si>
  <si>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</si>
  <si>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</si>
  <si>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</si>
  <si>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</si>
  <si>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</si>
  <si>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</si>
  <si>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</si>
  <si>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</si>
  <si>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</si>
  <si>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</si>
  <si>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</si>
  <si>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</si>
  <si>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</si>
  <si>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</si>
  <si>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</si>
  <si>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</si>
  <si>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</si>
  <si>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</si>
  <si>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</si>
  <si>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</si>
  <si>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</si>
  <si>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</si>
  <si>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</si>
  <si>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</si>
  <si>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</si>
  <si>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</si>
  <si>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</si>
  <si>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</si>
  <si>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</si>
  <si>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</si>
  <si>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</si>
  <si>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</si>
  <si>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</si>
  <si>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</si>
  <si>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</si>
  <si>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</si>
  <si>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</si>
  <si>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</si>
  <si>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</si>
  <si>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</si>
  <si>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</si>
  <si>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</si>
  <si>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</si>
  <si>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</si>
  <si>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</si>
  <si>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</si>
  <si>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</si>
  <si>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</si>
  <si>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</si>
  <si>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</si>
  <si>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</si>
  <si>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</si>
  <si>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</si>
  <si>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</si>
  <si>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</si>
  <si>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</si>
  <si>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</si>
  <si>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</si>
  <si>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</si>
  <si>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</si>
  <si>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</si>
  <si>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</si>
  <si>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</si>
  <si>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</si>
  <si>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</si>
  <si>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</si>
  <si>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</si>
  <si>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</si>
  <si>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</si>
  <si>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</si>
  <si>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</si>
  <si>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</si>
  <si>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</si>
  <si>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</si>
  <si>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</si>
  <si>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</si>
  <si>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</si>
  <si>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</si>
  <si>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</si>
  <si>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</si>
  <si>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</si>
  <si>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</si>
  <si>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</si>
  <si>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</si>
  <si>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</si>
  <si>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</si>
  <si>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</si>
  <si>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</si>
  <si>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</si>
  <si>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</si>
  <si>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</si>
  <si>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</si>
  <si>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</si>
  <si>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</si>
  <si>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</si>
  <si>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</si>
  <si>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</si>
  <si>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</si>
  <si>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</si>
  <si>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</si>
  <si>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</si>
  <si>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</si>
  <si>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</si>
  <si>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</si>
  <si>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</si>
  <si>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</si>
  <si>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</si>
  <si>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</si>
  <si>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</si>
  <si>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</si>
  <si>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</si>
  <si>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</si>
  <si>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</si>
  <si>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</si>
  <si>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</si>
  <si>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</si>
  <si>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</si>
  <si>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</si>
  <si>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</si>
  <si>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</si>
  <si>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</si>
  <si>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</si>
  <si>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</si>
  <si>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</si>
  <si>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</si>
  <si>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</si>
  <si>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</si>
  <si>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</si>
  <si>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</si>
  <si>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</si>
  <si>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</si>
  <si>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</si>
  <si>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</si>
  <si>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</si>
  <si>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</si>
  <si>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</si>
  <si>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</si>
  <si>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</si>
  <si>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</si>
  <si>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</si>
  <si>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</si>
  <si>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</si>
  <si>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</si>
  <si>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</si>
  <si>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</si>
  <si>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</si>
  <si>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</si>
  <si>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</si>
  <si>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</si>
  <si>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</si>
  <si>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</si>
  <si>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</si>
  <si>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</si>
  <si>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</si>
  <si>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</si>
  <si>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</si>
  <si>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</si>
  <si>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</si>
  <si>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</si>
  <si>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</si>
  <si>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</si>
  <si>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</si>
  <si>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</si>
  <si>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</si>
  <si>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</si>
  <si>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</si>
  <si>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</si>
  <si>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</si>
  <si>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</si>
  <si>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</si>
  <si>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</si>
  <si>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</si>
  <si>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</si>
  <si>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</si>
  <si>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</si>
  <si>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</si>
  <si>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</si>
  <si>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</si>
  <si>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</si>
  <si>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</si>
  <si>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</si>
  <si>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</si>
  <si>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</si>
  <si>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</si>
  <si>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</si>
  <si>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</si>
  <si>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</si>
  <si>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</si>
  <si>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</si>
  <si>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</si>
  <si>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</si>
  <si>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</si>
  <si>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</si>
  <si>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</si>
  <si>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</si>
  <si>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</si>
  <si>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</si>
  <si>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</si>
  <si>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</si>
  <si>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</si>
  <si>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</si>
  <si>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</si>
  <si>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</si>
  <si>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</si>
  <si>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</si>
  <si>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</si>
  <si>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</si>
  <si>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</si>
  <si>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</si>
  <si>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</si>
  <si>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</si>
  <si>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</si>
  <si>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</si>
  <si>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</si>
  <si>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</si>
  <si>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</si>
  <si>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</si>
  <si>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</si>
  <si>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</si>
  <si>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</si>
  <si>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</si>
  <si>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</si>
  <si>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</si>
  <si>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</si>
  <si>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</si>
  <si>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</si>
  <si>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</si>
  <si>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</si>
  <si>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</si>
  <si>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</si>
  <si>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</si>
  <si>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</si>
  <si>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</si>
  <si>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</si>
  <si>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</si>
  <si>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</si>
  <si>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</si>
  <si>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</si>
  <si>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</si>
  <si>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</si>
  <si>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</si>
  <si>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</si>
  <si>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</si>
  <si>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</si>
  <si>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</si>
  <si>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</si>
  <si>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</si>
  <si>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</si>
  <si>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</si>
  <si>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</si>
  <si>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</si>
  <si>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</si>
  <si>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</si>
  <si>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</si>
  <si>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</si>
  <si>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</si>
  <si>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</si>
  <si>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</si>
  <si>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</si>
  <si>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</si>
  <si>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</si>
  <si>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</si>
  <si>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</si>
  <si>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</si>
  <si>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</si>
  <si>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</si>
  <si>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</si>
  <si>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</si>
  <si>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</si>
  <si>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</si>
  <si>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</si>
  <si>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</si>
  <si>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</si>
  <si>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</si>
  <si>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</si>
  <si>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</si>
  <si>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</si>
  <si>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</si>
  <si>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</si>
  <si>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</si>
  <si>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</si>
  <si>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</si>
  <si>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</si>
  <si>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</si>
  <si>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</si>
  <si>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</si>
  <si>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</si>
  <si>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</si>
  <si>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</si>
  <si>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</si>
  <si>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</si>
  <si>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</si>
  <si>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</si>
  <si>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</si>
  <si>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</si>
  <si>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</si>
  <si>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</si>
  <si>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</si>
  <si>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</si>
  <si>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</si>
  <si>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</si>
  <si>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</si>
  <si>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</si>
  <si>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</si>
  <si>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</si>
  <si>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</si>
  <si>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</si>
  <si>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</si>
  <si>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</si>
  <si>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</si>
  <si>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</si>
  <si>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</si>
  <si>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</si>
  <si>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</si>
  <si>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</si>
  <si>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</si>
  <si>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</si>
  <si>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</si>
  <si>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</si>
  <si>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</si>
  <si>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</si>
  <si>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</si>
  <si>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</si>
  <si>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</si>
  <si>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</si>
  <si>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</si>
  <si>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</si>
  <si>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</si>
  <si>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</si>
  <si>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</si>
  <si>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</si>
  <si>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</si>
  <si>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</si>
  <si>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</si>
  <si>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</si>
  <si>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</si>
  <si>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</si>
  <si>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</si>
  <si>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</si>
  <si>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</si>
  <si>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</si>
  <si>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</si>
  <si>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</si>
  <si>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</si>
  <si>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</si>
  <si>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</si>
  <si>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</si>
  <si>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</si>
  <si>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</si>
  <si>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</si>
  <si>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</si>
  <si>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</si>
  <si>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</si>
  <si>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</si>
  <si>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</si>
  <si>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</si>
  <si>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</si>
  <si>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</si>
  <si>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</si>
  <si>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</si>
  <si>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</si>
  <si>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</si>
  <si>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</si>
  <si>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</si>
  <si>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</si>
  <si>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</si>
  <si>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</si>
  <si>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</si>
  <si>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</si>
  <si>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</si>
  <si>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</si>
  <si>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</si>
  <si>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</si>
  <si>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</si>
  <si>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</si>
  <si>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</si>
  <si>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</si>
  <si>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</si>
  <si>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</si>
  <si>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</si>
  <si>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</si>
  <si>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</si>
  <si>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</si>
  <si>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</si>
  <si>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</si>
  <si>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</si>
  <si>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</si>
  <si>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</si>
  <si>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</si>
  <si>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</si>
  <si>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</si>
  <si>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</si>
  <si>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</si>
  <si>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</si>
  <si>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</si>
  <si>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</si>
  <si>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</si>
  <si>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</si>
  <si>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</si>
  <si>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</si>
  <si>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</si>
  <si>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</si>
  <si>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</si>
  <si>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</si>
  <si>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</si>
  <si>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</si>
  <si>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</si>
  <si>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</si>
  <si>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</si>
  <si>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</si>
  <si>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</si>
  <si>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</si>
  <si>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</si>
  <si>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</si>
  <si>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</si>
  <si>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</si>
  <si>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</si>
  <si>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</si>
  <si>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</si>
  <si>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</si>
  <si>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</si>
  <si>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</si>
  <si>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</si>
  <si>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</si>
  <si>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</si>
  <si>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</si>
  <si>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</si>
  <si>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</si>
  <si>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</si>
  <si>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</si>
  <si>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</si>
  <si>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</si>
  <si>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</si>
  <si>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</si>
  <si>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</si>
  <si>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</si>
  <si>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</si>
  <si>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</si>
  <si>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</si>
  <si>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</si>
  <si>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</si>
  <si>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</si>
  <si>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</si>
  <si>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</si>
  <si>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</si>
  <si>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</si>
  <si>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</si>
  <si>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</si>
  <si>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</si>
  <si>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</si>
  <si>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</si>
  <si>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</si>
  <si>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</si>
  <si>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</si>
  <si>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</si>
  <si>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</si>
  <si>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</si>
  <si>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</si>
  <si>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</si>
  <si>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</si>
  <si>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</si>
  <si>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</si>
  <si>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</si>
  <si>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</si>
  <si>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</si>
  <si>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</si>
  <si>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</si>
  <si>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</si>
  <si>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</si>
  <si>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</si>
  <si>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</si>
  <si>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</si>
  <si>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</si>
  <si>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</si>
  <si>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</si>
  <si>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</si>
  <si>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</si>
  <si>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</si>
  <si>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</si>
  <si>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</si>
  <si>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</si>
  <si>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</si>
  <si>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</si>
  <si>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</si>
  <si>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</si>
  <si>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</si>
  <si>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</si>
  <si>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</si>
  <si>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</si>
  <si>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</si>
  <si>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</si>
  <si>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</si>
  <si>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</si>
  <si>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</si>
  <si>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</si>
  <si>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</si>
  <si>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</si>
  <si>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</si>
  <si>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</si>
  <si>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</si>
  <si>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</si>
  <si>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</si>
  <si>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</si>
  <si>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</si>
  <si>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</si>
  <si>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</si>
  <si>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</si>
  <si>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</si>
  <si>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</si>
  <si>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</si>
  <si>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</si>
  <si>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</si>
  <si>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</si>
  <si>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</si>
  <si>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</si>
  <si>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</si>
  <si>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</si>
  <si>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</si>
  <si>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</si>
  <si>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</si>
  <si>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</si>
  <si>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</si>
  <si>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</si>
  <si>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</si>
  <si>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</si>
  <si>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</si>
  <si>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</si>
  <si>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</si>
  <si>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</si>
  <si>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</si>
  <si>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</si>
  <si>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</si>
  <si>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</si>
  <si>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</si>
  <si>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</si>
  <si>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</si>
  <si>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</si>
  <si>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</si>
  <si>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</si>
  <si>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</si>
  <si>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</si>
  <si>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</si>
  <si>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</si>
  <si>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</si>
  <si>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</si>
  <si>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</si>
  <si>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</si>
  <si>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</si>
  <si>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</si>
  <si>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</si>
  <si>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</si>
  <si>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</si>
  <si>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</si>
  <si>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</si>
  <si>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</si>
  <si>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</si>
  <si>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</si>
  <si>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</si>
  <si>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</si>
  <si>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</si>
  <si>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</si>
  <si>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</si>
  <si>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</si>
  <si>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</si>
  <si>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</si>
  <si>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</si>
  <si>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</si>
  <si>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</si>
  <si>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</si>
  <si>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</si>
  <si>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</si>
  <si>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</si>
  <si>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</si>
  <si>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</si>
  <si>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</si>
  <si>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</si>
  <si>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</si>
  <si>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</si>
  <si>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</si>
  <si>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</si>
  <si>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</si>
  <si>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</si>
  <si>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</si>
  <si>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</si>
  <si>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</si>
  <si>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</si>
  <si>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</si>
  <si>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</si>
  <si>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</si>
  <si>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</si>
  <si>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</si>
  <si>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</si>
  <si>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</si>
  <si>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</si>
  <si>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</si>
  <si>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</si>
  <si>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</si>
  <si>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</si>
  <si>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</si>
  <si>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</si>
  <si>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</si>
  <si>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</si>
  <si>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</si>
  <si>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</si>
  <si>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</si>
  <si>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</si>
  <si>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</si>
  <si>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</si>
  <si>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</si>
  <si>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</si>
  <si>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</si>
  <si>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</si>
  <si>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</si>
  <si>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</si>
  <si>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</si>
  <si>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</si>
  <si>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</si>
  <si>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</si>
  <si>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</si>
  <si>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</si>
  <si>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</si>
  <si>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</si>
  <si>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</si>
  <si>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</si>
  <si>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</si>
  <si>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</si>
  <si>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</si>
  <si>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</si>
  <si>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</si>
  <si>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</si>
  <si>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</si>
  <si>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</si>
  <si>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</si>
  <si>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</si>
  <si>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</si>
  <si>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</si>
  <si>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</si>
  <si>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</si>
  <si>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</si>
  <si>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</si>
  <si>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</si>
  <si>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</si>
  <si>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</si>
  <si>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</si>
  <si>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</si>
  <si>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</si>
  <si>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</si>
  <si>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</si>
  <si>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</si>
  <si>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</si>
  <si>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</si>
  <si>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</si>
  <si>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</si>
  <si>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</si>
  <si>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</si>
  <si>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</si>
  <si>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</si>
  <si>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</si>
  <si>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</si>
  <si>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</si>
  <si>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</si>
  <si>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</si>
  <si>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</si>
  <si>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</si>
  <si>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</si>
  <si>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</si>
  <si>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</si>
  <si>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</si>
  <si>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</si>
  <si>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</si>
  <si>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</si>
  <si>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</si>
  <si>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</si>
  <si>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</si>
  <si>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</si>
  <si>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</si>
  <si>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</si>
  <si>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</si>
  <si>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</si>
  <si>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</si>
  <si>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</si>
  <si>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</si>
  <si>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</si>
  <si>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</si>
  <si>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</si>
  <si>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</si>
  <si>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</si>
  <si>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</si>
  <si>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</si>
  <si>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</si>
  <si>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</si>
  <si>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</si>
  <si>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</si>
  <si>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</si>
  <si>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</si>
  <si>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</si>
  <si>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</si>
  <si>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</si>
  <si>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</si>
  <si>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</si>
  <si>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</si>
  <si>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</si>
  <si>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</si>
  <si>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</si>
  <si>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</si>
  <si>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</si>
  <si>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</si>
  <si>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</si>
  <si>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</si>
  <si>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</si>
  <si>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</si>
  <si>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</si>
  <si>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</si>
  <si>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</si>
  <si>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</si>
  <si>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</si>
  <si>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</si>
  <si>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</si>
  <si>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</si>
  <si>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</si>
  <si>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</si>
  <si>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</si>
  <si>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</si>
  <si>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</si>
  <si>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</si>
  <si>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</si>
  <si>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</si>
  <si>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</si>
  <si>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</si>
  <si>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</si>
  <si>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</si>
  <si>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</si>
  <si>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</si>
  <si>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</si>
  <si>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</si>
  <si>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</si>
  <si>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</si>
  <si>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</si>
  <si>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</si>
  <si>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</si>
  <si>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</si>
  <si>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</si>
  <si>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</si>
  <si>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</si>
  <si>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</si>
  <si>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</si>
  <si>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</si>
  <si>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</si>
  <si>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</si>
  <si>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</si>
  <si>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</si>
  <si>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</si>
  <si>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</si>
  <si>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</si>
  <si>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</si>
  <si>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</si>
  <si>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</si>
  <si>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</si>
  <si>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</si>
  <si>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</si>
  <si>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</si>
  <si>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</si>
  <si>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</si>
  <si>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</si>
  <si>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</si>
  <si>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</si>
  <si>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</si>
  <si>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</si>
  <si>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</si>
  <si>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</si>
  <si>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</si>
  <si>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</si>
  <si>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</si>
  <si>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</si>
  <si>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</si>
  <si>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</si>
  <si>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</si>
  <si>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</si>
  <si>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</si>
  <si>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</si>
  <si>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</si>
  <si>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</si>
  <si>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</si>
  <si>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</si>
  <si>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</si>
  <si>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</si>
  <si>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</si>
  <si>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</si>
  <si>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</si>
  <si>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</si>
  <si>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</si>
  <si>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</si>
  <si>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</si>
  <si>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</si>
  <si>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</si>
  <si>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</si>
  <si>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</si>
  <si>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</si>
  <si>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</si>
  <si>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</si>
  <si>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</si>
  <si>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</si>
  <si>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</si>
  <si>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</si>
  <si>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</si>
  <si>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</si>
  <si>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</si>
  <si>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</si>
  <si>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</si>
  <si>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</si>
  <si>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</si>
  <si>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</si>
  <si>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</si>
  <si>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</si>
  <si>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</si>
  <si>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</si>
  <si>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</si>
  <si>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</si>
  <si>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</si>
  <si>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</si>
  <si>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</si>
  <si>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</si>
  <si>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</si>
  <si>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</si>
  <si>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</si>
  <si>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</si>
  <si>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</si>
  <si>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</si>
  <si>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</si>
  <si>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</si>
  <si>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</si>
  <si>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</si>
  <si>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</si>
  <si>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</si>
  <si>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</si>
  <si>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</si>
  <si>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</si>
  <si>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</si>
  <si>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04/02</t>
  </si>
  <si>
    <t>07/22</t>
  </si>
  <si>
    <t>02/04</t>
  </si>
  <si>
    <t>08/16</t>
  </si>
  <si>
    <t>07/08</t>
  </si>
  <si>
    <t>07/28</t>
  </si>
  <si>
    <t>05/14</t>
  </si>
  <si>
    <t>08/26</t>
  </si>
  <si>
    <t>Londonderry School District</t>
  </si>
  <si>
    <t>07/14</t>
  </si>
  <si>
    <t>07/24</t>
  </si>
  <si>
    <t>Inc unrefunded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</si>
</sst>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2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919</v>
      </c>
      <c r="B2" s="21">
        <v>319</v>
      </c>
      <c r="C2" s="21">
        <v>319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4726206.83</v>
      </c>
      <c r="G9" s="18">
        <v>5600</v>
      </c>
      <c r="H9" s="18"/>
      <c r="I9" s="18"/>
      <c r="J9" s="67">
        <f>SUM(I439)</f>
        <v>617939.94000000006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187983</v>
      </c>
      <c r="G12" s="18">
        <f>29390.53+12421.8</f>
        <v>41812.33</v>
      </c>
      <c r="H12" s="18"/>
      <c r="I12" s="18">
        <v>2095061.63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17142.18</v>
      </c>
      <c r="H13" s="18">
        <v>379435.14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15904.13</v>
      </c>
      <c r="G14" s="18">
        <f>2836.97+2018.55</f>
        <v>4855.5199999999995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24192.18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8170.93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4938264.8899999997</v>
      </c>
      <c r="G19" s="41">
        <f>SUM(G9:G18)</f>
        <v>93602.209999999992</v>
      </c>
      <c r="H19" s="41">
        <f>SUM(H9:H18)</f>
        <v>379435.14</v>
      </c>
      <c r="I19" s="41">
        <f>SUM(I9:I18)</f>
        <v>2095061.63</v>
      </c>
      <c r="J19" s="41">
        <f>SUM(J9:J18)</f>
        <v>617939.94000000006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1829514.09</v>
      </c>
      <c r="G22" s="18"/>
      <c r="H22" s="18">
        <v>294938.07</v>
      </c>
      <c r="I22" s="18"/>
      <c r="J22" s="67">
        <f>SUM(I448)</f>
        <v>187983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163457.04999999999</v>
      </c>
      <c r="G24" s="18">
        <f>12.7+47272.98</f>
        <v>47285.68</v>
      </c>
      <c r="H24" s="18"/>
      <c r="I24" s="18">
        <v>40000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585626.30000000005</v>
      </c>
      <c r="G28" s="18">
        <v>16562.14</v>
      </c>
      <c r="H28" s="18">
        <v>9084.36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18474.74+152977.77+9784.7</f>
        <v>181237.21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2759834.6500000004</v>
      </c>
      <c r="G32" s="41">
        <f>SUM(G22:G31)</f>
        <v>63847.82</v>
      </c>
      <c r="H32" s="41">
        <f>SUM(H22:H31)</f>
        <v>304022.43</v>
      </c>
      <c r="I32" s="41">
        <f>SUM(I22:I31)</f>
        <v>40000</v>
      </c>
      <c r="J32" s="41">
        <f>SUM(J22:J31)</f>
        <v>187983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24192.18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8170.93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>
        <v>75412.710000000006</v>
      </c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100000</v>
      </c>
      <c r="G44" s="18"/>
      <c r="H44" s="18"/>
      <c r="I44" s="18">
        <v>2055061.63</v>
      </c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302810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5562.21</v>
      </c>
      <c r="H48" s="18"/>
      <c r="I48" s="18"/>
      <c r="J48" s="13">
        <f>SUM(I459)</f>
        <v>429956.94000000006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1767449.31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2178430.2400000002</v>
      </c>
      <c r="G51" s="41">
        <f>SUM(G35:G50)</f>
        <v>29754.39</v>
      </c>
      <c r="H51" s="41">
        <f>SUM(H35:H50)</f>
        <v>75412.710000000006</v>
      </c>
      <c r="I51" s="41">
        <f>SUM(I35:I50)</f>
        <v>2055061.63</v>
      </c>
      <c r="J51" s="41">
        <f>SUM(J35:J50)</f>
        <v>429956.94000000006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4938264.8900000006</v>
      </c>
      <c r="G52" s="41">
        <f>G51+G32</f>
        <v>93602.209999999992</v>
      </c>
      <c r="H52" s="41">
        <f>H51+H32</f>
        <v>379435.14</v>
      </c>
      <c r="I52" s="41">
        <f>I51+I32</f>
        <v>2095061.63</v>
      </c>
      <c r="J52" s="41">
        <f>J51+J32</f>
        <v>617939.94000000006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45588816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45588816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85267.7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12576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19377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616956.16000000003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75949.649999999994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810126.51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-1015.44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-1015.44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>
        <v>36.700000000000003</v>
      </c>
      <c r="H96" s="18"/>
      <c r="I96" s="18"/>
      <c r="J96" s="18">
        <v>88.79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306994.98+240772.05+407912.57</f>
        <v>955679.60000000009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15573.34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27908.35</v>
      </c>
      <c r="G99" s="18">
        <v>35095.65</v>
      </c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5116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50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25.1</v>
      </c>
      <c r="G110" s="18">
        <v>300</v>
      </c>
      <c r="H110" s="18">
        <v>3168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43556.79</v>
      </c>
      <c r="G111" s="41">
        <f>SUM(G96:G110)</f>
        <v>991111.95000000007</v>
      </c>
      <c r="H111" s="41">
        <f>SUM(H96:H110)</f>
        <v>8284</v>
      </c>
      <c r="I111" s="41">
        <f>SUM(I96:I110)</f>
        <v>0</v>
      </c>
      <c r="J111" s="41">
        <f>SUM(J96:J110)</f>
        <v>88.79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46441483.859999999</v>
      </c>
      <c r="G112" s="41">
        <f>G60+G111</f>
        <v>991111.95000000007</v>
      </c>
      <c r="H112" s="41">
        <f>H60+H79+H94+H111</f>
        <v>8284</v>
      </c>
      <c r="I112" s="41">
        <f>I60+I111</f>
        <v>0</v>
      </c>
      <c r="J112" s="41">
        <f>J60+J111</f>
        <v>88.79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12169237.779999999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6283982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37.64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18453257.420000002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539694.5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439249.02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12937.5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27733.200000000001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19031.46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1019614.22</v>
      </c>
      <c r="G136" s="41">
        <f>SUM(G123:G135)</f>
        <v>19031.46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19472871.640000001</v>
      </c>
      <c r="G140" s="41">
        <f>G121+SUM(G136:G137)</f>
        <v>19031.46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208974.23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132437.64000000001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55120.84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270084.64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1034372.65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443699.20000000001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79336.03</v>
      </c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443699.20000000001</v>
      </c>
      <c r="G162" s="41">
        <f>SUM(G150:G161)</f>
        <v>349420.67000000004</v>
      </c>
      <c r="H162" s="41">
        <f>SUM(H150:H161)</f>
        <v>1430905.3599999999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443699.20000000001</v>
      </c>
      <c r="G169" s="41">
        <f>G147+G162+SUM(G163:G168)</f>
        <v>349420.67000000004</v>
      </c>
      <c r="H169" s="41">
        <f>H147+H162+SUM(H163:H168)</f>
        <v>1430905.3599999999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>
        <v>3895000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>
        <v>220486.39999999999</v>
      </c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4115486.4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12421.8</v>
      </c>
      <c r="H179" s="18"/>
      <c r="I179" s="18"/>
      <c r="J179" s="18">
        <v>600000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12421.8</v>
      </c>
      <c r="H183" s="41">
        <f>SUM(H179:H182)</f>
        <v>0</v>
      </c>
      <c r="I183" s="41">
        <f>SUM(I179:I182)</f>
        <v>0</v>
      </c>
      <c r="J183" s="41">
        <f>SUM(J179:J182)</f>
        <v>600000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137188.20000000001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274211.56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411399.76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411399.76</v>
      </c>
      <c r="G192" s="41">
        <f>G183+SUM(G188:G191)</f>
        <v>12421.8</v>
      </c>
      <c r="H192" s="41">
        <f>+H183+SUM(H188:H191)</f>
        <v>0</v>
      </c>
      <c r="I192" s="41">
        <f>I177+I183+SUM(I188:I191)</f>
        <v>4115486.4</v>
      </c>
      <c r="J192" s="41">
        <f>J183</f>
        <v>600000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66769454.460000001</v>
      </c>
      <c r="G193" s="47">
        <f>G112+G140+G169+G192</f>
        <v>1371985.8800000001</v>
      </c>
      <c r="H193" s="47">
        <f>H112+H140+H169+H192</f>
        <v>1439189.3599999999</v>
      </c>
      <c r="I193" s="47">
        <f>I112+I140+I169+I192</f>
        <v>4115486.4</v>
      </c>
      <c r="J193" s="47">
        <f>J112+J140+J192</f>
        <v>600088.79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6641997.77+176542.93</f>
        <v>6818540.6999999993</v>
      </c>
      <c r="G197" s="18">
        <v>2923819.4</v>
      </c>
      <c r="H197" s="18">
        <f>210.1+353+336+631.59+135+181.58+299+499.49</f>
        <v>2645.76</v>
      </c>
      <c r="I197" s="18">
        <f>1381+1161.96+10388.78+11094.05+10737.32+3253.22+33642.26+1228.9+2379.26+24796.7+8656.52+2215.99+17032.55+998.75+2641.41+22805.59+11160.52+2899.17+21156.93+1053.82+2627.41+25211.83+10531.51+46729.29+100</f>
        <v>275884.74</v>
      </c>
      <c r="J197" s="18">
        <f>287.72+5598.64+6158.21</f>
        <v>12044.57</v>
      </c>
      <c r="K197" s="18"/>
      <c r="L197" s="19">
        <f>SUM(F197:K197)</f>
        <v>10032935.17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173542.66+3097807.15+298300.14+146992.92</f>
        <v>3716642.87</v>
      </c>
      <c r="G198" s="18">
        <v>1596520.16</v>
      </c>
      <c r="H198" s="18">
        <f>164848.99+14128.21</f>
        <v>178977.19999999998</v>
      </c>
      <c r="I198" s="18">
        <f>6214.33+1735.96+3950.46+1474.65+3618.84+2148.25+14784.09</f>
        <v>33926.58</v>
      </c>
      <c r="J198" s="18">
        <f>3673.81+1477+6417.46</f>
        <v>11568.27</v>
      </c>
      <c r="K198" s="18">
        <f>660+223+1705</f>
        <v>2588</v>
      </c>
      <c r="L198" s="19">
        <f>SUM(F198:K198)</f>
        <v>5540223.0800000001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15831+8004.02+28025.34+37934.37</f>
        <v>89794.73000000001</v>
      </c>
      <c r="G200" s="18">
        <v>34899.94</v>
      </c>
      <c r="H200" s="18"/>
      <c r="I200" s="18">
        <f>691.9</f>
        <v>691.9</v>
      </c>
      <c r="J200" s="18"/>
      <c r="K200" s="18"/>
      <c r="L200" s="19">
        <f>SUM(F200:K200)</f>
        <v>125386.57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234695.58+247597+602390.23+4023.5+758862.85</f>
        <v>1847569.1600000001</v>
      </c>
      <c r="G202" s="18">
        <v>798391.12</v>
      </c>
      <c r="H202" s="18">
        <f>63947.17</f>
        <v>63947.17</v>
      </c>
      <c r="I202" s="18">
        <f>784.39+512.35+484.49+1398.09+3244.94+2152.3+2410.84+135+2183.37</f>
        <v>13305.77</v>
      </c>
      <c r="J202" s="18"/>
      <c r="K202" s="18"/>
      <c r="L202" s="19">
        <f t="shared" ref="L202:L208" si="0">SUM(F202:K202)</f>
        <v>2723213.22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27797.5+299586.34+74716.16</f>
        <v>402100</v>
      </c>
      <c r="G203" s="18">
        <f>148580.29+156316.52+3575.19</f>
        <v>308472</v>
      </c>
      <c r="H203" s="18">
        <f>6066.42+5382.09</f>
        <v>11448.51</v>
      </c>
      <c r="I203" s="18">
        <f>1170.32+2870.08+2082.45+13637.29+1935.88+10153.27+2367.09+10969.31+195+195+195+7236.36</f>
        <v>53007.05</v>
      </c>
      <c r="J203" s="18">
        <f>27595.91</f>
        <v>27595.91</v>
      </c>
      <c r="K203" s="18">
        <f>920.04</f>
        <v>920.04</v>
      </c>
      <c r="L203" s="19">
        <f t="shared" si="0"/>
        <v>803543.51000000013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139741.15</v>
      </c>
      <c r="G204" s="18">
        <f>70746.26</f>
        <v>70746.259999999995</v>
      </c>
      <c r="H204" s="18">
        <f>179419.62</f>
        <v>179419.62</v>
      </c>
      <c r="I204" s="18">
        <f>12787.19</f>
        <v>12787.19</v>
      </c>
      <c r="J204" s="18">
        <f>1874.65</f>
        <v>1874.65</v>
      </c>
      <c r="K204" s="18">
        <f>7239.83</f>
        <v>7239.83</v>
      </c>
      <c r="L204" s="19">
        <f t="shared" si="0"/>
        <v>411808.7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787442.1+4884.33</f>
        <v>792326.42999999993</v>
      </c>
      <c r="G205" s="18">
        <f>348904.73</f>
        <v>348904.73</v>
      </c>
      <c r="H205" s="18">
        <f>2669.37+159+2275.91+470.29+2021.48+1734.74+2410.4+2230.41+560+1295.53+1895.32</f>
        <v>17722.45</v>
      </c>
      <c r="I205" s="18">
        <f>1014.53+1882.56+719.77+437.15</f>
        <v>4054.01</v>
      </c>
      <c r="J205" s="18"/>
      <c r="K205" s="18">
        <f>864+1740+1779+1650</f>
        <v>6033</v>
      </c>
      <c r="L205" s="19">
        <f t="shared" si="0"/>
        <v>1169040.6199999999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f>212481.16</f>
        <v>212481.16</v>
      </c>
      <c r="G206" s="18">
        <f>90132.16</f>
        <v>90132.160000000003</v>
      </c>
      <c r="H206" s="18">
        <f>16473.05</f>
        <v>16473.05</v>
      </c>
      <c r="I206" s="18"/>
      <c r="J206" s="18"/>
      <c r="K206" s="18"/>
      <c r="L206" s="19">
        <f t="shared" si="0"/>
        <v>319086.37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688591.05+278447.83</f>
        <v>967038.88000000012</v>
      </c>
      <c r="G207" s="18">
        <f>378805.08</f>
        <v>378805.08</v>
      </c>
      <c r="H207" s="18">
        <f>405.92+1817.5+221.95+896.33+1232.44+968.12+1233.46+3532.03+8688.03+2099.83+2989.48+5408.44+680.4+17900.79+2491.5+9192.56+2520+26804.39+3102+3912.46+1814.4+15781.43+2895.36+9450.95+2310+24742.9+3650.5+345199.62</f>
        <v>501942.79</v>
      </c>
      <c r="I207" s="18">
        <f>4328.17+7072.3+10044.52+12579.73+517.24+3787.38+1012.29+1019.99+15210.98+19843.5+34671.96+46725.78+26190.58+40259.8+48553.06+49150.71+7348.75</f>
        <v>328316.74</v>
      </c>
      <c r="J207" s="18">
        <f>2079+1534+3320.5+3487+7039+6145.39</f>
        <v>23604.89</v>
      </c>
      <c r="K207" s="18">
        <f>25327.38+149.65</f>
        <v>25477.030000000002</v>
      </c>
      <c r="L207" s="19">
        <f t="shared" si="0"/>
        <v>2225185.41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344+1576891.08</f>
        <v>1577235.08</v>
      </c>
      <c r="I208" s="18"/>
      <c r="J208" s="18"/>
      <c r="K208" s="18"/>
      <c r="L208" s="19">
        <f t="shared" si="0"/>
        <v>1577235.08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f>198162.08</f>
        <v>198162.08</v>
      </c>
      <c r="G209" s="18">
        <f>79117.15</f>
        <v>79117.149999999994</v>
      </c>
      <c r="H209" s="18">
        <f>139771.53</f>
        <v>139771.53</v>
      </c>
      <c r="I209" s="18">
        <f>14313.09</f>
        <v>14313.09</v>
      </c>
      <c r="J209" s="18">
        <f>183530.33</f>
        <v>183530.33</v>
      </c>
      <c r="K209" s="18"/>
      <c r="L209" s="19">
        <f>SUM(F209:K209)</f>
        <v>614894.18000000005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15184397.160000002</v>
      </c>
      <c r="G211" s="41">
        <f t="shared" si="1"/>
        <v>6629808</v>
      </c>
      <c r="H211" s="41">
        <f t="shared" si="1"/>
        <v>2689583.1599999997</v>
      </c>
      <c r="I211" s="41">
        <f t="shared" si="1"/>
        <v>736287.07</v>
      </c>
      <c r="J211" s="41">
        <f t="shared" si="1"/>
        <v>260218.62</v>
      </c>
      <c r="K211" s="41">
        <f t="shared" si="1"/>
        <v>42257.9</v>
      </c>
      <c r="L211" s="41">
        <f t="shared" si="1"/>
        <v>25542551.910000004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4153941.14+99821.94</f>
        <v>4253763.08</v>
      </c>
      <c r="G215" s="18">
        <v>1693646.38</v>
      </c>
      <c r="H215" s="18">
        <f>5237.38+64.65+19423.89+4608.12+1403.2</f>
        <v>30737.239999999998</v>
      </c>
      <c r="I215" s="18">
        <f>12808.59+3711.47+22345+1124.08+119+2193.96+1865.61+4339.6+4543.83+5583.36+10971.3+10571.62+1758.48+1614.58+1724.99+1078.61+374+442.63+3145+26833.84+8591.13+2741.49-0.02</f>
        <v>128482.15000000001</v>
      </c>
      <c r="J215" s="18">
        <v>3761.12</v>
      </c>
      <c r="K215" s="18"/>
      <c r="L215" s="19">
        <f>SUM(F215:K215)</f>
        <v>6110389.9700000007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110251.9+1502983.47+141150.88+48192.13</f>
        <v>1802578.38</v>
      </c>
      <c r="G216" s="18">
        <v>736464.31</v>
      </c>
      <c r="H216" s="18">
        <f>171098.72+9023.14</f>
        <v>180121.86</v>
      </c>
      <c r="I216" s="18">
        <f>13801.23+6515.7+8507.97</f>
        <v>28824.9</v>
      </c>
      <c r="J216" s="18">
        <f>8567.61</f>
        <v>8567.61</v>
      </c>
      <c r="K216" s="18">
        <f>335+1705</f>
        <v>2040</v>
      </c>
      <c r="L216" s="19">
        <f>SUM(F216:K216)</f>
        <v>2758597.0599999996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42465+864+85042.44+2288+53027.36</f>
        <v>183686.8</v>
      </c>
      <c r="G218" s="18">
        <v>72712.89</v>
      </c>
      <c r="H218" s="18">
        <f>9802</f>
        <v>9802</v>
      </c>
      <c r="I218" s="18">
        <f>125.97+3730.2+150.46</f>
        <v>4006.6299999999997</v>
      </c>
      <c r="J218" s="18">
        <f>3965.28</f>
        <v>3965.28</v>
      </c>
      <c r="K218" s="18">
        <f>2067.5</f>
        <v>2067.5</v>
      </c>
      <c r="L218" s="19">
        <f>SUM(F218:K218)</f>
        <v>276241.10000000003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37863.64+214105.38+69648.02+45448.04+78574.67+124624.63</f>
        <v>570264.38</v>
      </c>
      <c r="G220" s="18">
        <v>228707.24</v>
      </c>
      <c r="H220" s="18">
        <f>17346.88+77018.92</f>
        <v>94365.8</v>
      </c>
      <c r="I220" s="18">
        <f>1023.78+616.27+2492.72+1224.82</f>
        <v>5357.5899999999992</v>
      </c>
      <c r="J220" s="18"/>
      <c r="K220" s="18">
        <f>155</f>
        <v>155</v>
      </c>
      <c r="L220" s="19">
        <f t="shared" ref="L220:L226" si="2">SUM(F220:K220)</f>
        <v>898850.01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29872.06+154793.18+41913.94</f>
        <v>226579.18</v>
      </c>
      <c r="G221" s="18">
        <f>55071.74+93817.67+2005.6</f>
        <v>150895.01</v>
      </c>
      <c r="H221" s="18">
        <f>2526+3019.22</f>
        <v>5545.2199999999993</v>
      </c>
      <c r="I221" s="18">
        <f>3708.04+21940.45+543+4059.42</f>
        <v>30250.910000000003</v>
      </c>
      <c r="J221" s="18">
        <f>6347.05</f>
        <v>6347.05</v>
      </c>
      <c r="K221" s="18">
        <f>516.12</f>
        <v>516.12</v>
      </c>
      <c r="L221" s="19">
        <f t="shared" si="2"/>
        <v>420133.48999999993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78391.38</v>
      </c>
      <c r="G222" s="18">
        <v>39872.660000000003</v>
      </c>
      <c r="H222" s="18">
        <f>69142.1</f>
        <v>69142.100000000006</v>
      </c>
      <c r="I222" s="18">
        <v>7173.3</v>
      </c>
      <c r="J222" s="18">
        <f>1051.63</f>
        <v>1051.6300000000001</v>
      </c>
      <c r="K222" s="18">
        <f>4061.37</f>
        <v>4061.37</v>
      </c>
      <c r="L222" s="19">
        <f t="shared" si="2"/>
        <v>199692.44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396075.14+2739.99</f>
        <v>398815.13</v>
      </c>
      <c r="G223" s="18">
        <v>172968.41</v>
      </c>
      <c r="H223" s="18">
        <f>5131.41+3516+1470.22+1063.23</f>
        <v>11180.859999999999</v>
      </c>
      <c r="I223" s="18">
        <f>805.1</f>
        <v>805.1</v>
      </c>
      <c r="J223" s="18"/>
      <c r="K223" s="18">
        <f>3245.91</f>
        <v>3245.91</v>
      </c>
      <c r="L223" s="19">
        <f t="shared" si="2"/>
        <v>587015.41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119196.75</v>
      </c>
      <c r="G224" s="18">
        <v>50771.73</v>
      </c>
      <c r="H224" s="18">
        <f>9240.98</f>
        <v>9240.98</v>
      </c>
      <c r="I224" s="18"/>
      <c r="J224" s="18"/>
      <c r="K224" s="18"/>
      <c r="L224" s="19">
        <f t="shared" si="2"/>
        <v>179209.46000000002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431493.88+179014.12</f>
        <v>610508</v>
      </c>
      <c r="G225" s="18">
        <v>239009.55</v>
      </c>
      <c r="H225" s="18">
        <f>443.46+149.52+8651.13+12260.43+3351.6+44075.7+7944.14+312890.38</f>
        <v>389766.36</v>
      </c>
      <c r="I225" s="18">
        <f>16636.3+5013.08+57417.78+84055.42+4242.9</f>
        <v>167365.48000000001</v>
      </c>
      <c r="J225" s="18">
        <f>2598.85+3683.5+16409.99</f>
        <v>22692.340000000004</v>
      </c>
      <c r="K225" s="18">
        <f>83.95</f>
        <v>83.95</v>
      </c>
      <c r="L225" s="19">
        <f t="shared" si="2"/>
        <v>1429425.6800000002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16371.04+848.25+742794.04</f>
        <v>760013.33000000007</v>
      </c>
      <c r="I226" s="18"/>
      <c r="J226" s="18"/>
      <c r="K226" s="18"/>
      <c r="L226" s="19">
        <f t="shared" si="2"/>
        <v>760013.33000000007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f>111164.09</f>
        <v>111164.09</v>
      </c>
      <c r="G227" s="18">
        <v>44506.32</v>
      </c>
      <c r="H227" s="18">
        <f>78408.42</f>
        <v>78408.42</v>
      </c>
      <c r="I227" s="18">
        <f>8029.29</f>
        <v>8029.29</v>
      </c>
      <c r="J227" s="18">
        <f>134702.08</f>
        <v>134702.07999999999</v>
      </c>
      <c r="K227" s="18"/>
      <c r="L227" s="19">
        <f>SUM(F227:K227)</f>
        <v>376810.2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8354947.169999999</v>
      </c>
      <c r="G229" s="41">
        <f>SUM(G215:G228)</f>
        <v>3429554.5</v>
      </c>
      <c r="H229" s="41">
        <f>SUM(H215:H228)</f>
        <v>1638324.17</v>
      </c>
      <c r="I229" s="41">
        <f>SUM(I215:I228)</f>
        <v>380295.35000000003</v>
      </c>
      <c r="J229" s="41">
        <f>SUM(J215:J228)</f>
        <v>181087.11</v>
      </c>
      <c r="K229" s="41">
        <f t="shared" si="3"/>
        <v>12169.85</v>
      </c>
      <c r="L229" s="41">
        <f t="shared" si="3"/>
        <v>13996378.15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6480244.26+185654.38-0.03</f>
        <v>6665898.6099999994</v>
      </c>
      <c r="G233" s="18">
        <v>2649224.56</v>
      </c>
      <c r="H233" s="18">
        <f>883.13+207.8+2500+9666.88+139+145.6+398+390.44+2325+54440.98+5500+6810.32</f>
        <v>83407.149999999994</v>
      </c>
      <c r="I233" s="18">
        <f>22568.69+62.49+3257.32+4456.4+1773.34+2209.11+676.95+2265.12+1731.15+2591.34+8199.45+128.85+22260.17+144.78+22968+10023.34+36478.81+499.26+590.33+24134.45+6606.23+0.04</f>
        <v>173625.62000000002</v>
      </c>
      <c r="J233" s="18">
        <f>1831.74+11141.37+30107.55</f>
        <v>43080.66</v>
      </c>
      <c r="K233" s="18">
        <f>2644.16</f>
        <v>2644.16</v>
      </c>
      <c r="L233" s="19">
        <f>SUM(F233:K233)</f>
        <v>9617880.7599999998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118652.36+1672164.73+58051.94</f>
        <v>1848869.03</v>
      </c>
      <c r="G234" s="18">
        <v>893219.33</v>
      </c>
      <c r="H234" s="18">
        <f>968147.26+7923.25+10210.13</f>
        <v>986280.64</v>
      </c>
      <c r="I234" s="18">
        <f>6779.82+11803.54</f>
        <v>18583.36</v>
      </c>
      <c r="J234" s="18">
        <f>2575.96</f>
        <v>2575.96</v>
      </c>
      <c r="K234" s="18"/>
      <c r="L234" s="19">
        <f>SUM(F234:K234)</f>
        <v>3749528.32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f>101861.56</f>
        <v>101861.56</v>
      </c>
      <c r="I235" s="18"/>
      <c r="J235" s="18"/>
      <c r="K235" s="18"/>
      <c r="L235" s="19">
        <f>SUM(F235:K235)</f>
        <v>101861.56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74040+447228.49+20379.15+74709.7</f>
        <v>616357.34</v>
      </c>
      <c r="G236" s="18">
        <v>243507.13</v>
      </c>
      <c r="H236" s="18">
        <f>26.58+52800.3+14106.93+54250.46</f>
        <v>121184.26999999999</v>
      </c>
      <c r="I236" s="18">
        <f>7649.15+25804.9+625+752.28</f>
        <v>34831.33</v>
      </c>
      <c r="J236" s="18">
        <f>6959.3+6736.24+23274.67+11895.83</f>
        <v>48866.04</v>
      </c>
      <c r="K236" s="18">
        <f>1497+35074.15</f>
        <v>36571.15</v>
      </c>
      <c r="L236" s="19">
        <f>SUM(F236:K236)</f>
        <v>1101317.2599999998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158569.64+530626.18+85547.16+131175.48+121497.72</f>
        <v>1027416.18</v>
      </c>
      <c r="G238" s="18">
        <v>413218.81</v>
      </c>
      <c r="H238" s="18">
        <f>1170.72+26228.47+207015.76</f>
        <v>234414.95</v>
      </c>
      <c r="I238" s="18">
        <f>1865.75+11193+1634.43+1917.11</f>
        <v>16610.29</v>
      </c>
      <c r="J238" s="18"/>
      <c r="K238" s="18">
        <f>830+1000</f>
        <v>1830</v>
      </c>
      <c r="L238" s="19">
        <f t="shared" ref="L238:L244" si="4">SUM(F238:K238)</f>
        <v>1693490.23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38290+279312.95+65604.43</f>
        <v>383207.38</v>
      </c>
      <c r="G239" s="18">
        <f>91890.75+173825.39+3139.19</f>
        <v>268855.33</v>
      </c>
      <c r="H239" s="18">
        <f>1415+4725.73</f>
        <v>6140.73</v>
      </c>
      <c r="I239" s="18">
        <f>3203.55+55087.03+2406+6353.88</f>
        <v>67050.460000000006</v>
      </c>
      <c r="J239" s="18">
        <f>23762.93</f>
        <v>23762.93</v>
      </c>
      <c r="K239" s="18">
        <f>807.84</f>
        <v>807.84</v>
      </c>
      <c r="L239" s="19">
        <f t="shared" si="4"/>
        <v>749824.66999999993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122699.55</v>
      </c>
      <c r="G240" s="18">
        <v>61804.18</v>
      </c>
      <c r="H240" s="18">
        <f>143778.94</f>
        <v>143778.94</v>
      </c>
      <c r="I240" s="18">
        <f>11227.77</f>
        <v>11227.77</v>
      </c>
      <c r="J240" s="18">
        <f>1646.03</f>
        <v>1646.03</v>
      </c>
      <c r="K240" s="18">
        <f>6356.92</f>
        <v>6356.92</v>
      </c>
      <c r="L240" s="19">
        <f t="shared" si="4"/>
        <v>347513.39000000007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807789.9+4288.68</f>
        <v>812078.58000000007</v>
      </c>
      <c r="G241" s="18">
        <v>352337.45</v>
      </c>
      <c r="H241" s="18">
        <f>4456.21+9317.83+2964.7+16460.1+1664.18</f>
        <v>34863.019999999997</v>
      </c>
      <c r="I241" s="18">
        <f>2280.95+5483.79</f>
        <v>7764.74</v>
      </c>
      <c r="J241" s="18"/>
      <c r="K241" s="18">
        <f>3993</f>
        <v>3993</v>
      </c>
      <c r="L241" s="19">
        <f t="shared" si="4"/>
        <v>1211036.79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186568.82</v>
      </c>
      <c r="G242" s="18">
        <v>79052.25</v>
      </c>
      <c r="H242" s="18">
        <f>14464.14</f>
        <v>14464.14</v>
      </c>
      <c r="I242" s="18"/>
      <c r="J242" s="18"/>
      <c r="K242" s="18"/>
      <c r="L242" s="19">
        <f t="shared" si="4"/>
        <v>280085.21000000002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648587.54+291775.91</f>
        <v>940363.45</v>
      </c>
      <c r="G243" s="18">
        <v>367814.89</v>
      </c>
      <c r="H243" s="18">
        <f>2132.24+314.16+28117.97+22757.88+6264.96+116093.57+7277.5+493135.2</f>
        <v>676093.48</v>
      </c>
      <c r="I243" s="18">
        <f>40074.77+22241.58+117288.73+247188.49+6717.88</f>
        <v>433511.44999999995</v>
      </c>
      <c r="J243" s="18">
        <f>1956.85+3233.06+22224.48+1577.5</f>
        <v>28991.89</v>
      </c>
      <c r="K243" s="18">
        <f>131.4</f>
        <v>131.4</v>
      </c>
      <c r="L243" s="19">
        <f t="shared" si="4"/>
        <v>2446906.5599999996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81802.67+480.2+12584.11+790348.01</f>
        <v>885214.99</v>
      </c>
      <c r="I244" s="18"/>
      <c r="J244" s="18"/>
      <c r="K244" s="18"/>
      <c r="L244" s="19">
        <f t="shared" si="4"/>
        <v>885214.99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173995.97</v>
      </c>
      <c r="G245" s="18">
        <v>69420.3</v>
      </c>
      <c r="H245" s="18">
        <f>122726.22</f>
        <v>122726.22</v>
      </c>
      <c r="I245" s="18">
        <f>12567.59</f>
        <v>12567.59</v>
      </c>
      <c r="J245" s="18">
        <f>146802.93</f>
        <v>146802.93</v>
      </c>
      <c r="K245" s="18"/>
      <c r="L245" s="19">
        <f>SUM(F245:K245)</f>
        <v>525513.01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12777454.91</v>
      </c>
      <c r="G247" s="41">
        <f t="shared" si="5"/>
        <v>5398454.2299999995</v>
      </c>
      <c r="H247" s="41">
        <f t="shared" si="5"/>
        <v>3410430.0900000003</v>
      </c>
      <c r="I247" s="41">
        <f t="shared" si="5"/>
        <v>775772.61</v>
      </c>
      <c r="J247" s="41">
        <f t="shared" si="5"/>
        <v>295726.44</v>
      </c>
      <c r="K247" s="41">
        <f t="shared" si="5"/>
        <v>52334.469999999994</v>
      </c>
      <c r="L247" s="41">
        <f t="shared" si="5"/>
        <v>22710172.75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f>37674</f>
        <v>37674</v>
      </c>
      <c r="G251" s="18">
        <v>23400.74</v>
      </c>
      <c r="H251" s="18">
        <f>5200</f>
        <v>5200</v>
      </c>
      <c r="I251" s="18">
        <f>770.79</f>
        <v>770.79</v>
      </c>
      <c r="J251" s="18"/>
      <c r="K251" s="18"/>
      <c r="L251" s="19">
        <f t="shared" si="6"/>
        <v>67045.53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37674</v>
      </c>
      <c r="G256" s="41">
        <f t="shared" si="7"/>
        <v>23400.74</v>
      </c>
      <c r="H256" s="41">
        <f t="shared" si="7"/>
        <v>5200</v>
      </c>
      <c r="I256" s="41">
        <f t="shared" si="7"/>
        <v>770.79</v>
      </c>
      <c r="J256" s="41">
        <f t="shared" si="7"/>
        <v>0</v>
      </c>
      <c r="K256" s="41">
        <f t="shared" si="7"/>
        <v>0</v>
      </c>
      <c r="L256" s="41">
        <f>SUM(F256:K256)</f>
        <v>67045.53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36354473.240000002</v>
      </c>
      <c r="G257" s="41">
        <f t="shared" si="8"/>
        <v>15481217.470000001</v>
      </c>
      <c r="H257" s="41">
        <f t="shared" si="8"/>
        <v>7743537.4199999999</v>
      </c>
      <c r="I257" s="41">
        <f t="shared" si="8"/>
        <v>1893125.8199999998</v>
      </c>
      <c r="J257" s="41">
        <f t="shared" si="8"/>
        <v>737032.16999999993</v>
      </c>
      <c r="K257" s="41">
        <f t="shared" si="8"/>
        <v>106762.22</v>
      </c>
      <c r="L257" s="41">
        <f t="shared" si="8"/>
        <v>62316148.340000004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1750000</v>
      </c>
      <c r="L260" s="19">
        <f>SUM(F260:K260)</f>
        <v>1750000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f>351382.42+594833.65</f>
        <v>946216.07000000007</v>
      </c>
      <c r="L261" s="19">
        <f>SUM(F261:K261)</f>
        <v>946216.07000000007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12421.8</v>
      </c>
      <c r="L263" s="19">
        <f>SUM(F263:K263)</f>
        <v>12421.8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600000</v>
      </c>
      <c r="L266" s="19">
        <f t="shared" si="9"/>
        <v>600000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3308637.87</v>
      </c>
      <c r="L270" s="41">
        <f t="shared" si="9"/>
        <v>3308637.87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36354473.240000002</v>
      </c>
      <c r="G271" s="42">
        <f t="shared" si="11"/>
        <v>15481217.470000001</v>
      </c>
      <c r="H271" s="42">
        <f t="shared" si="11"/>
        <v>7743537.4199999999</v>
      </c>
      <c r="I271" s="42">
        <f t="shared" si="11"/>
        <v>1893125.8199999998</v>
      </c>
      <c r="J271" s="42">
        <f t="shared" si="11"/>
        <v>737032.16999999993</v>
      </c>
      <c r="K271" s="42">
        <f t="shared" si="11"/>
        <v>3415400.0900000003</v>
      </c>
      <c r="L271" s="42">
        <f t="shared" si="11"/>
        <v>65624786.210000001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303995.09000000003</v>
      </c>
      <c r="G276" s="18">
        <f>13124.19+24292.59</f>
        <v>37416.78</v>
      </c>
      <c r="H276" s="18"/>
      <c r="I276" s="18"/>
      <c r="J276" s="18"/>
      <c r="K276" s="18"/>
      <c r="L276" s="19">
        <f>SUM(F276:K276)</f>
        <v>341411.87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349646.85</f>
        <v>349646.85</v>
      </c>
      <c r="G277" s="18"/>
      <c r="H277" s="18"/>
      <c r="I277" s="18">
        <v>1130.95</v>
      </c>
      <c r="J277" s="18"/>
      <c r="K277" s="18"/>
      <c r="L277" s="19">
        <f>SUM(F277:K277)</f>
        <v>350777.8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66856.65+15884.44+62349.25+31600.4</f>
        <v>176690.74</v>
      </c>
      <c r="G281" s="18"/>
      <c r="H281" s="18"/>
      <c r="I281" s="18"/>
      <c r="J281" s="18"/>
      <c r="K281" s="18"/>
      <c r="L281" s="19">
        <f t="shared" ref="L281:L287" si="12">SUM(F281:K281)</f>
        <v>176690.74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830332.67999999993</v>
      </c>
      <c r="G290" s="42">
        <f t="shared" si="13"/>
        <v>37416.78</v>
      </c>
      <c r="H290" s="42">
        <f t="shared" si="13"/>
        <v>0</v>
      </c>
      <c r="I290" s="42">
        <f t="shared" si="13"/>
        <v>1130.95</v>
      </c>
      <c r="J290" s="42">
        <f t="shared" si="13"/>
        <v>0</v>
      </c>
      <c r="K290" s="42">
        <f t="shared" si="13"/>
        <v>0</v>
      </c>
      <c r="L290" s="41">
        <f t="shared" si="13"/>
        <v>868880.40999999992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76091.59</f>
        <v>76091.59</v>
      </c>
      <c r="G296" s="18"/>
      <c r="H296" s="18"/>
      <c r="I296" s="18"/>
      <c r="J296" s="18"/>
      <c r="K296" s="18"/>
      <c r="L296" s="19">
        <f>SUM(F296:K296)</f>
        <v>76091.59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76091.59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76091.59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>
        <v>4866</v>
      </c>
      <c r="K314" s="18"/>
      <c r="L314" s="19">
        <f>SUM(F314:K314)</f>
        <v>4866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415605.09</v>
      </c>
      <c r="G315" s="18"/>
      <c r="H315" s="18"/>
      <c r="I315" s="18"/>
      <c r="J315" s="18"/>
      <c r="K315" s="18"/>
      <c r="L315" s="19">
        <f>SUM(F315:K315)</f>
        <v>415605.09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f>16338.38</f>
        <v>16338.38</v>
      </c>
      <c r="G319" s="18"/>
      <c r="H319" s="18"/>
      <c r="I319" s="18"/>
      <c r="J319" s="18"/>
      <c r="K319" s="18"/>
      <c r="L319" s="19">
        <f t="shared" ref="L319:L325" si="16">SUM(F319:K319)</f>
        <v>16338.38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>
        <f>3597.48+1818.45</f>
        <v>5415.93</v>
      </c>
      <c r="J320" s="18"/>
      <c r="K320" s="18"/>
      <c r="L320" s="19">
        <f t="shared" si="16"/>
        <v>5415.93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431943.47000000003</v>
      </c>
      <c r="G328" s="42">
        <f t="shared" si="17"/>
        <v>0</v>
      </c>
      <c r="H328" s="42">
        <f t="shared" si="17"/>
        <v>0</v>
      </c>
      <c r="I328" s="42">
        <f t="shared" si="17"/>
        <v>5415.93</v>
      </c>
      <c r="J328" s="42">
        <f t="shared" si="17"/>
        <v>4866</v>
      </c>
      <c r="K328" s="42">
        <f t="shared" si="17"/>
        <v>0</v>
      </c>
      <c r="L328" s="41">
        <f t="shared" si="17"/>
        <v>442225.4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19528</v>
      </c>
      <c r="G333" s="18">
        <f>1493.94+2765.22</f>
        <v>4259.16</v>
      </c>
      <c r="H333" s="18">
        <v>2000</v>
      </c>
      <c r="I333" s="18">
        <f>2515.58+468.56+12000</f>
        <v>14984.14</v>
      </c>
      <c r="J333" s="18">
        <v>14349.54</v>
      </c>
      <c r="K333" s="18"/>
      <c r="L333" s="19">
        <f t="shared" si="18"/>
        <v>55120.840000000004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19528</v>
      </c>
      <c r="G337" s="41">
        <f t="shared" si="19"/>
        <v>4259.16</v>
      </c>
      <c r="H337" s="41">
        <f t="shared" si="19"/>
        <v>2000</v>
      </c>
      <c r="I337" s="41">
        <f t="shared" si="19"/>
        <v>14984.14</v>
      </c>
      <c r="J337" s="41">
        <f t="shared" si="19"/>
        <v>14349.54</v>
      </c>
      <c r="K337" s="41">
        <f t="shared" si="19"/>
        <v>0</v>
      </c>
      <c r="L337" s="41">
        <f t="shared" si="18"/>
        <v>55120.840000000004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1357895.74</v>
      </c>
      <c r="G338" s="41">
        <f t="shared" si="20"/>
        <v>41675.94</v>
      </c>
      <c r="H338" s="41">
        <f t="shared" si="20"/>
        <v>2000</v>
      </c>
      <c r="I338" s="41">
        <f t="shared" si="20"/>
        <v>21531.02</v>
      </c>
      <c r="J338" s="41">
        <f t="shared" si="20"/>
        <v>19215.54</v>
      </c>
      <c r="K338" s="41">
        <f t="shared" si="20"/>
        <v>0</v>
      </c>
      <c r="L338" s="41">
        <f t="shared" si="20"/>
        <v>1442318.24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1357895.74</v>
      </c>
      <c r="G352" s="41">
        <f>G338</f>
        <v>41675.94</v>
      </c>
      <c r="H352" s="41">
        <f>H338</f>
        <v>2000</v>
      </c>
      <c r="I352" s="41">
        <f>I338</f>
        <v>21531.02</v>
      </c>
      <c r="J352" s="41">
        <f>J338</f>
        <v>19215.54</v>
      </c>
      <c r="K352" s="47">
        <f>K338+K351</f>
        <v>0</v>
      </c>
      <c r="L352" s="41">
        <f>L338+L351</f>
        <v>1442318.24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151845.22+27777.98</f>
        <v>179623.2</v>
      </c>
      <c r="G358" s="18">
        <v>24793.35</v>
      </c>
      <c r="H358" s="18">
        <v>9213.27</v>
      </c>
      <c r="I358" s="18">
        <v>296987.76</v>
      </c>
      <c r="J358" s="18"/>
      <c r="K358" s="18">
        <f>387.45+21873</f>
        <v>22260.45</v>
      </c>
      <c r="L358" s="13">
        <f>SUM(F358:K358)</f>
        <v>532878.03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121596.37+15582.76</f>
        <v>137179.13</v>
      </c>
      <c r="G359" s="18">
        <v>18959.62</v>
      </c>
      <c r="H359" s="18">
        <v>5168.42</v>
      </c>
      <c r="I359" s="18">
        <v>166602.89000000001</v>
      </c>
      <c r="J359" s="18"/>
      <c r="K359" s="18">
        <v>217.35</v>
      </c>
      <c r="L359" s="19">
        <f>SUM(F359:K359)</f>
        <v>328127.41000000003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115719.18+67150.98+24390.41</f>
        <v>207260.56999999998</v>
      </c>
      <c r="G360" s="18">
        <v>29168.65</v>
      </c>
      <c r="H360" s="18">
        <v>8089.71</v>
      </c>
      <c r="I360" s="18">
        <v>260769.73</v>
      </c>
      <c r="J360" s="18"/>
      <c r="K360" s="18">
        <v>340.2</v>
      </c>
      <c r="L360" s="19">
        <f>SUM(F360:K360)</f>
        <v>505628.86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524062.9</v>
      </c>
      <c r="G362" s="47">
        <f t="shared" si="22"/>
        <v>72921.62</v>
      </c>
      <c r="H362" s="47">
        <f t="shared" si="22"/>
        <v>22471.4</v>
      </c>
      <c r="I362" s="47">
        <f t="shared" si="22"/>
        <v>724360.38</v>
      </c>
      <c r="J362" s="47">
        <f t="shared" si="22"/>
        <v>0</v>
      </c>
      <c r="K362" s="47">
        <f t="shared" si="22"/>
        <v>22818</v>
      </c>
      <c r="L362" s="47">
        <f t="shared" si="22"/>
        <v>1366634.3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272863.99</v>
      </c>
      <c r="G367" s="18">
        <v>153070.04</v>
      </c>
      <c r="H367" s="18">
        <v>239587.89</v>
      </c>
      <c r="I367" s="56">
        <f>SUM(F367:H367)</f>
        <v>665521.92000000004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24123.77</v>
      </c>
      <c r="G368" s="63">
        <v>13532.85</v>
      </c>
      <c r="H368" s="63">
        <v>21181.84</v>
      </c>
      <c r="I368" s="56">
        <f>SUM(F368:H368)</f>
        <v>58838.460000000006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296987.76</v>
      </c>
      <c r="G369" s="47">
        <f>SUM(G367:G368)</f>
        <v>166602.89000000001</v>
      </c>
      <c r="H369" s="47">
        <f>SUM(H367:H368)</f>
        <v>260769.73</v>
      </c>
      <c r="I369" s="47">
        <f>SUM(I367:I368)</f>
        <v>724360.38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v>1724208.9</v>
      </c>
      <c r="I379" s="18"/>
      <c r="J379" s="18"/>
      <c r="K379" s="18"/>
      <c r="L379" s="13">
        <f t="shared" si="23"/>
        <v>1724208.9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>
        <v>51121.87</v>
      </c>
      <c r="I380" s="18"/>
      <c r="J380" s="18"/>
      <c r="K380" s="18"/>
      <c r="L380" s="13">
        <f t="shared" si="23"/>
        <v>51121.87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1775330.77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1775330.77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>
        <v>3.06</v>
      </c>
      <c r="I388" s="18"/>
      <c r="J388" s="24" t="s">
        <v>289</v>
      </c>
      <c r="K388" s="24" t="s">
        <v>289</v>
      </c>
      <c r="L388" s="56">
        <f t="shared" si="25"/>
        <v>3.06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>
        <v>100000</v>
      </c>
      <c r="H392" s="18">
        <v>15.99</v>
      </c>
      <c r="I392" s="18"/>
      <c r="J392" s="24" t="s">
        <v>289</v>
      </c>
      <c r="K392" s="24" t="s">
        <v>289</v>
      </c>
      <c r="L392" s="56">
        <f t="shared" si="25"/>
        <v>100015.99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100000</v>
      </c>
      <c r="H393" s="139">
        <f>SUM(H387:H392)</f>
        <v>19.05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100019.05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500000</v>
      </c>
      <c r="H396" s="18">
        <v>48.15</v>
      </c>
      <c r="I396" s="18"/>
      <c r="J396" s="24" t="s">
        <v>289</v>
      </c>
      <c r="K396" s="24" t="s">
        <v>289</v>
      </c>
      <c r="L396" s="56">
        <f t="shared" si="26"/>
        <v>500048.15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10.47</v>
      </c>
      <c r="I397" s="18"/>
      <c r="J397" s="24" t="s">
        <v>289</v>
      </c>
      <c r="K397" s="24" t="s">
        <v>289</v>
      </c>
      <c r="L397" s="56">
        <f t="shared" si="26"/>
        <v>10.47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11.12</v>
      </c>
      <c r="I400" s="18"/>
      <c r="J400" s="24" t="s">
        <v>289</v>
      </c>
      <c r="K400" s="24" t="s">
        <v>289</v>
      </c>
      <c r="L400" s="56">
        <f t="shared" si="26"/>
        <v>11.12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500000</v>
      </c>
      <c r="H401" s="47">
        <f>SUM(H395:H400)</f>
        <v>69.739999999999995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500069.74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600000</v>
      </c>
      <c r="H408" s="47">
        <f>H393+H401+H407</f>
        <v>88.789999999999992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600088.79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>
        <v>137188.20000000001</v>
      </c>
      <c r="L418" s="56">
        <f t="shared" si="27"/>
        <v>137188.20000000001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137188.20000000001</v>
      </c>
      <c r="L419" s="47">
        <f t="shared" si="28"/>
        <v>137188.20000000001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f>274211.56+187983</f>
        <v>462194.56</v>
      </c>
      <c r="L422" s="56">
        <f t="shared" si="29"/>
        <v>462194.56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462194.56</v>
      </c>
      <c r="L427" s="47">
        <f t="shared" si="30"/>
        <v>462194.56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599382.76</v>
      </c>
      <c r="L434" s="47">
        <f t="shared" si="32"/>
        <v>599382.76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f>30811.27+62836.64</f>
        <v>93647.91</v>
      </c>
      <c r="G439" s="18">
        <v>524292.03</v>
      </c>
      <c r="H439" s="18"/>
      <c r="I439" s="56">
        <f t="shared" ref="I439:I445" si="33">SUM(F439:H439)</f>
        <v>617939.94000000006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93647.91</v>
      </c>
      <c r="G446" s="13">
        <f>SUM(G439:G445)</f>
        <v>524292.03</v>
      </c>
      <c r="H446" s="13">
        <f>SUM(H439:H445)</f>
        <v>0</v>
      </c>
      <c r="I446" s="13">
        <f>SUM(I439:I445)</f>
        <v>617939.94000000006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>
        <v>187983</v>
      </c>
      <c r="H448" s="18"/>
      <c r="I448" s="56">
        <f>SUM(F448:H448)</f>
        <v>187983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187983</v>
      </c>
      <c r="H452" s="72">
        <f>SUM(H448:H451)</f>
        <v>0</v>
      </c>
      <c r="I452" s="72">
        <f>SUM(I448:I451)</f>
        <v>187983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93647.91</v>
      </c>
      <c r="G459" s="18">
        <v>336309.03</v>
      </c>
      <c r="H459" s="18"/>
      <c r="I459" s="56">
        <f t="shared" si="34"/>
        <v>429956.94000000006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93647.91</v>
      </c>
      <c r="G460" s="83">
        <f>SUM(G454:G459)</f>
        <v>336309.03</v>
      </c>
      <c r="H460" s="83">
        <f>SUM(H454:H459)</f>
        <v>0</v>
      </c>
      <c r="I460" s="83">
        <f>SUM(I454:I459)</f>
        <v>429956.94000000006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93647.91</v>
      </c>
      <c r="G461" s="42">
        <f>G452+G460</f>
        <v>524292.03</v>
      </c>
      <c r="H461" s="42">
        <f>H452+H460</f>
        <v>0</v>
      </c>
      <c r="I461" s="42">
        <f>I452+I460</f>
        <v>617939.94000000006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1033761.99</v>
      </c>
      <c r="G465" s="18">
        <v>24402.81</v>
      </c>
      <c r="H465" s="18">
        <v>78541.59</v>
      </c>
      <c r="I465" s="18">
        <v>-285094</v>
      </c>
      <c r="J465" s="18">
        <v>429250.91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66769454.460000001</v>
      </c>
      <c r="G468" s="18">
        <v>1371985.88</v>
      </c>
      <c r="H468" s="18">
        <v>1439189.36</v>
      </c>
      <c r="I468" s="18">
        <v>4115486.4</v>
      </c>
      <c r="J468" s="18">
        <v>600088.79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66769454.460000001</v>
      </c>
      <c r="G470" s="53">
        <f>SUM(G468:G469)</f>
        <v>1371985.88</v>
      </c>
      <c r="H470" s="53">
        <f>SUM(H468:H469)</f>
        <v>1439189.36</v>
      </c>
      <c r="I470" s="53">
        <f>SUM(I468:I469)</f>
        <v>4115486.4</v>
      </c>
      <c r="J470" s="53">
        <f>SUM(J468:J469)</f>
        <v>600088.79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65624786.210000001</v>
      </c>
      <c r="G472" s="18">
        <v>1366634.3</v>
      </c>
      <c r="H472" s="18">
        <v>1442318.24</v>
      </c>
      <c r="I472" s="18">
        <v>1775330.77</v>
      </c>
      <c r="J472" s="18">
        <v>599382.76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65624786.210000001</v>
      </c>
      <c r="G474" s="53">
        <f>SUM(G472:G473)</f>
        <v>1366634.3</v>
      </c>
      <c r="H474" s="53">
        <f>SUM(H472:H473)</f>
        <v>1442318.24</v>
      </c>
      <c r="I474" s="53">
        <f>SUM(I472:I473)</f>
        <v>1775330.77</v>
      </c>
      <c r="J474" s="53">
        <f>SUM(J472:J473)</f>
        <v>599382.76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2178430.2400000021</v>
      </c>
      <c r="G476" s="53">
        <f>(G465+G470)- G474</f>
        <v>29754.389999999898</v>
      </c>
      <c r="H476" s="53">
        <f>(H465+H470)- H474</f>
        <v>75412.710000000196</v>
      </c>
      <c r="I476" s="53">
        <f>(I465+I470)- I474</f>
        <v>2055061.63</v>
      </c>
      <c r="J476" s="53">
        <f>(J465+J470)- J474</f>
        <v>429956.93999999994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13</v>
      </c>
      <c r="H490" s="154">
        <v>20</v>
      </c>
      <c r="I490" s="154">
        <v>12</v>
      </c>
      <c r="J490" s="154">
        <v>20</v>
      </c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 t="s">
        <v>913</v>
      </c>
      <c r="H491" s="155" t="s">
        <v>915</v>
      </c>
      <c r="I491" s="155" t="s">
        <v>917</v>
      </c>
      <c r="J491" s="155" t="s">
        <v>920</v>
      </c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 t="s">
        <v>914</v>
      </c>
      <c r="H492" s="155" t="s">
        <v>916</v>
      </c>
      <c r="I492" s="155" t="s">
        <v>918</v>
      </c>
      <c r="J492" s="155" t="s">
        <v>921</v>
      </c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12030000</v>
      </c>
      <c r="G493" s="18">
        <v>6935000</v>
      </c>
      <c r="H493" s="18">
        <v>5100000</v>
      </c>
      <c r="I493" s="18">
        <v>2955000</v>
      </c>
      <c r="J493" s="18">
        <v>3895000</v>
      </c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4.57</v>
      </c>
      <c r="G494" s="18">
        <v>3.25</v>
      </c>
      <c r="H494" s="18">
        <v>4.09</v>
      </c>
      <c r="I494" s="18">
        <v>1.94</v>
      </c>
      <c r="J494" s="18">
        <v>2.14</v>
      </c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6000000</v>
      </c>
      <c r="G495" s="18">
        <v>1475000</v>
      </c>
      <c r="H495" s="18">
        <v>3825000</v>
      </c>
      <c r="I495" s="18">
        <v>2955000</v>
      </c>
      <c r="J495" s="18"/>
      <c r="K495" s="53">
        <f>SUM(F495:J495)</f>
        <v>14255000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 t="s">
        <v>922</v>
      </c>
      <c r="J496" s="18">
        <v>3895000</v>
      </c>
      <c r="K496" s="53">
        <f t="shared" ref="K496:K503" si="35">SUM(F496:J496)</f>
        <v>3895000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670000</v>
      </c>
      <c r="G497" s="18">
        <v>500000</v>
      </c>
      <c r="H497" s="18">
        <v>255000</v>
      </c>
      <c r="I497" s="18">
        <v>325000</v>
      </c>
      <c r="J497" s="18"/>
      <c r="K497" s="53">
        <f t="shared" si="35"/>
        <v>1750000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5330000</v>
      </c>
      <c r="G498" s="204">
        <v>975000</v>
      </c>
      <c r="H498" s="204">
        <v>3570000</v>
      </c>
      <c r="I498" s="204">
        <v>3180000</v>
      </c>
      <c r="J498" s="204">
        <v>3895000</v>
      </c>
      <c r="K498" s="205">
        <f t="shared" si="35"/>
        <v>16950000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1040517.5</v>
      </c>
      <c r="G499" s="18">
        <v>38900</v>
      </c>
      <c r="H499" s="18">
        <v>1027171.89</v>
      </c>
      <c r="I499" s="18">
        <v>378315.71</v>
      </c>
      <c r="J499" s="18">
        <v>583575</v>
      </c>
      <c r="K499" s="53">
        <f t="shared" si="35"/>
        <v>3068480.1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6370517.5</v>
      </c>
      <c r="G500" s="42">
        <f>SUM(G498:G499)</f>
        <v>1013900</v>
      </c>
      <c r="H500" s="42">
        <f>SUM(H498:H499)</f>
        <v>4597171.8899999997</v>
      </c>
      <c r="I500" s="42">
        <f>SUM(I498:I499)</f>
        <v>3558315.71</v>
      </c>
      <c r="J500" s="42">
        <f>SUM(J498:J499)</f>
        <v>4478575</v>
      </c>
      <c r="K500" s="42">
        <f t="shared" si="35"/>
        <v>20018480.100000001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670000</v>
      </c>
      <c r="G501" s="204">
        <v>490000</v>
      </c>
      <c r="H501" s="204">
        <v>255000</v>
      </c>
      <c r="I501" s="204">
        <v>310000</v>
      </c>
      <c r="J501" s="204">
        <v>390000</v>
      </c>
      <c r="K501" s="205">
        <f t="shared" si="35"/>
        <v>2115000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240075</v>
      </c>
      <c r="G502" s="18">
        <v>29200</v>
      </c>
      <c r="H502" s="18">
        <v>141206.26</v>
      </c>
      <c r="I502" s="18">
        <v>66825.009999999995</v>
      </c>
      <c r="J502" s="18">
        <v>111000</v>
      </c>
      <c r="K502" s="53">
        <f t="shared" si="35"/>
        <v>588306.27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910075</v>
      </c>
      <c r="G503" s="42">
        <f>SUM(G501:G502)</f>
        <v>519200</v>
      </c>
      <c r="H503" s="42">
        <f>SUM(H501:H502)</f>
        <v>396206.26</v>
      </c>
      <c r="I503" s="42">
        <f>SUM(I501:I502)</f>
        <v>376825.01</v>
      </c>
      <c r="J503" s="42">
        <f>SUM(J501:J502)</f>
        <v>501000</v>
      </c>
      <c r="K503" s="42">
        <f t="shared" si="35"/>
        <v>2703306.27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2747565</v>
      </c>
      <c r="G507" s="144"/>
      <c r="H507" s="144"/>
      <c r="I507" s="144">
        <v>3011231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125883.64+286399.48+146525.75+259585.25+397588.09+411819.64+306821.12+3355.03+54380.46+125342.37+417162.75+130970.82+169585.2+182817.62+218944.74+169586.69+19114.78+26263.48+49252.81+17452.64+54485.28+28025.34</f>
        <v>3601362.9799999995</v>
      </c>
      <c r="G521" s="18">
        <f>(37416.78)+(F521*0.412)</f>
        <v>1521178.3277599998</v>
      </c>
      <c r="H521" s="18">
        <f>9214.7+164848.99</f>
        <v>174063.69</v>
      </c>
      <c r="I521" s="18">
        <f>13910.1+3950.46+1130.95+6214.33+1735.96+1474.65+3618.84+2148.25</f>
        <v>34183.540000000008</v>
      </c>
      <c r="J521" s="18">
        <f>3673.81+1477+6417.46</f>
        <v>11568.27</v>
      </c>
      <c r="K521" s="18">
        <f>660+223</f>
        <v>883</v>
      </c>
      <c r="L521" s="88">
        <f>SUM(F521:K521)</f>
        <v>5343239.8077599993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65044.76+993733.96+58873.88+509249.51+17217.71</f>
        <v>1644119.8199999998</v>
      </c>
      <c r="G522" s="18">
        <f>F522*0.412</f>
        <v>677377.36583999987</v>
      </c>
      <c r="H522" s="18">
        <f>5169.22+171098.72</f>
        <v>176267.94</v>
      </c>
      <c r="I522" s="18">
        <f>7616.08+13801.23+0.01</f>
        <v>21417.319999999996</v>
      </c>
      <c r="J522" s="18">
        <f>8567.61</f>
        <v>8567.61</v>
      </c>
      <c r="K522" s="18">
        <f>335</f>
        <v>335</v>
      </c>
      <c r="L522" s="88">
        <f>SUM(F522:K522)</f>
        <v>2528085.0558399991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112729.92+1264660.66+385416.94+407504.07+30188.15</f>
        <v>2200499.7399999998</v>
      </c>
      <c r="G523" s="18">
        <f>(4259.16)+(F523*0.412)</f>
        <v>910865.05287999986</v>
      </c>
      <c r="H523" s="18">
        <f>8090.96+968147.26+7923.25</f>
        <v>984161.47</v>
      </c>
      <c r="I523" s="18">
        <f>12437.61+6779.82-0.01</f>
        <v>19217.420000000002</v>
      </c>
      <c r="J523" s="18">
        <f>2575.96</f>
        <v>2575.96</v>
      </c>
      <c r="K523" s="18"/>
      <c r="L523" s="88">
        <f>SUM(F523:K523)</f>
        <v>4117319.6428799992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7445982.5399999991</v>
      </c>
      <c r="G524" s="108">
        <f t="shared" ref="G524:L524" si="36">SUM(G521:G523)</f>
        <v>3109420.7464799997</v>
      </c>
      <c r="H524" s="108">
        <f t="shared" si="36"/>
        <v>1334493.1000000001</v>
      </c>
      <c r="I524" s="108">
        <f t="shared" si="36"/>
        <v>74818.28</v>
      </c>
      <c r="J524" s="108">
        <f t="shared" si="36"/>
        <v>22711.84</v>
      </c>
      <c r="K524" s="108">
        <f t="shared" si="36"/>
        <v>1218</v>
      </c>
      <c r="L524" s="89">
        <f t="shared" si="36"/>
        <v>11988644.506479997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760706.88+15884.44+63354.13+225128.09+102209.12+68484.65+143214.24+14945.44+47403.81+31600.4+4023.5</f>
        <v>1476954.7</v>
      </c>
      <c r="G526" s="18">
        <f>F526*0.412</f>
        <v>608505.33639999991</v>
      </c>
      <c r="H526" s="18">
        <f>64488.26</f>
        <v>64488.26</v>
      </c>
      <c r="I526" s="18">
        <f>1975.11</f>
        <v>1975.11</v>
      </c>
      <c r="J526" s="18"/>
      <c r="K526" s="18"/>
      <c r="L526" s="88">
        <f>SUM(F526:K526)</f>
        <v>2151923.4063999997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86446.03+45448.04+78574.67</f>
        <v>210468.74</v>
      </c>
      <c r="G527" s="18">
        <f t="shared" ref="G527:G528" si="37">F527*0.412</f>
        <v>86713.120879999988</v>
      </c>
      <c r="H527" s="18">
        <f>77322.45</f>
        <v>77322.45</v>
      </c>
      <c r="I527" s="18">
        <f>1107.99</f>
        <v>1107.99</v>
      </c>
      <c r="J527" s="18"/>
      <c r="K527" s="18"/>
      <c r="L527" s="88">
        <f>SUM(F527:K527)</f>
        <v>375612.30088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67829.67+131175.48+16338.38</f>
        <v>215343.53000000003</v>
      </c>
      <c r="G528" s="18">
        <f t="shared" si="37"/>
        <v>88721.534360000005</v>
      </c>
      <c r="H528" s="18">
        <f>207490.87</f>
        <v>207490.87</v>
      </c>
      <c r="I528" s="18">
        <f>1734.24</f>
        <v>1734.24</v>
      </c>
      <c r="J528" s="18"/>
      <c r="K528" s="18"/>
      <c r="L528" s="88">
        <f>SUM(F528:K528)</f>
        <v>513290.17436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1902766.97</v>
      </c>
      <c r="G529" s="89">
        <f t="shared" ref="G529:L529" si="38">SUM(G526:G528)</f>
        <v>783939.99163999991</v>
      </c>
      <c r="H529" s="89">
        <f t="shared" si="38"/>
        <v>349301.57999999996</v>
      </c>
      <c r="I529" s="89">
        <f t="shared" si="38"/>
        <v>4817.34</v>
      </c>
      <c r="J529" s="89">
        <f t="shared" si="38"/>
        <v>0</v>
      </c>
      <c r="K529" s="89">
        <f t="shared" si="38"/>
        <v>0</v>
      </c>
      <c r="L529" s="89">
        <f t="shared" si="38"/>
        <v>3040825.8816399998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64497.91+74828.64+29502.19+19978.43+23758+25475.4</f>
        <v>238040.56999999998</v>
      </c>
      <c r="G531" s="18">
        <f>F531*0.412</f>
        <v>98072.714839999986</v>
      </c>
      <c r="H531" s="18">
        <f>2373.42</f>
        <v>2373.42</v>
      </c>
      <c r="I531" s="18">
        <f>208.26</f>
        <v>208.26</v>
      </c>
      <c r="J531" s="18"/>
      <c r="K531" s="18"/>
      <c r="L531" s="88">
        <f>SUM(F531:K531)</f>
        <v>338694.96483999997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f>36181.75+83361.98+26889.92</f>
        <v>146433.65</v>
      </c>
      <c r="G532" s="18">
        <f t="shared" ref="G532:G533" si="39">F532*0.412</f>
        <v>60330.663799999995</v>
      </c>
      <c r="H532" s="18">
        <f>1331.43</f>
        <v>1331.43</v>
      </c>
      <c r="I532" s="18">
        <f>116.83</f>
        <v>116.83</v>
      </c>
      <c r="J532" s="18"/>
      <c r="K532" s="18"/>
      <c r="L532" s="88">
        <f>SUM(F532:K532)</f>
        <v>208212.57379999998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56632.31+91894.92+26757.44</f>
        <v>175284.66999999998</v>
      </c>
      <c r="G533" s="18">
        <f t="shared" si="39"/>
        <v>72217.284039999984</v>
      </c>
      <c r="H533" s="18">
        <f>2083.98</f>
        <v>2083.98</v>
      </c>
      <c r="I533" s="18">
        <f>182.87</f>
        <v>182.87</v>
      </c>
      <c r="J533" s="18"/>
      <c r="K533" s="18"/>
      <c r="L533" s="88">
        <f>SUM(F533:K533)</f>
        <v>249768.80403999999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559758.8899999999</v>
      </c>
      <c r="G534" s="89">
        <f t="shared" ref="G534:L534" si="40">SUM(G531:G533)</f>
        <v>230620.66267999995</v>
      </c>
      <c r="H534" s="89">
        <f t="shared" si="40"/>
        <v>5788.83</v>
      </c>
      <c r="I534" s="89">
        <f t="shared" si="40"/>
        <v>507.96</v>
      </c>
      <c r="J534" s="89">
        <f t="shared" si="40"/>
        <v>0</v>
      </c>
      <c r="K534" s="89">
        <f t="shared" si="40"/>
        <v>0</v>
      </c>
      <c r="L534" s="89">
        <f t="shared" si="40"/>
        <v>796676.34267999989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f>2413.51</f>
        <v>2413.5100000000002</v>
      </c>
      <c r="I536" s="18"/>
      <c r="J536" s="18"/>
      <c r="K536" s="18"/>
      <c r="L536" s="88">
        <f>SUM(F536:K536)</f>
        <v>2413.5100000000002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f>1353.92</f>
        <v>1353.92</v>
      </c>
      <c r="I537" s="18"/>
      <c r="J537" s="18"/>
      <c r="K537" s="18"/>
      <c r="L537" s="88">
        <f>SUM(F537:K537)</f>
        <v>1353.92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f>2119.18</f>
        <v>2119.1799999999998</v>
      </c>
      <c r="I538" s="18"/>
      <c r="J538" s="18"/>
      <c r="K538" s="18"/>
      <c r="L538" s="88">
        <f>SUM(F538:K538)</f>
        <v>2119.1799999999998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1">SUM(G536:G538)</f>
        <v>0</v>
      </c>
      <c r="H539" s="89">
        <f t="shared" si="41"/>
        <v>5886.6100000000006</v>
      </c>
      <c r="I539" s="89">
        <f t="shared" si="41"/>
        <v>0</v>
      </c>
      <c r="J539" s="89">
        <f t="shared" si="41"/>
        <v>0</v>
      </c>
      <c r="K539" s="89">
        <f t="shared" si="41"/>
        <v>0</v>
      </c>
      <c r="L539" s="89">
        <f t="shared" si="41"/>
        <v>5886.6100000000006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713309.63</f>
        <v>713309.63</v>
      </c>
      <c r="I541" s="18"/>
      <c r="J541" s="18"/>
      <c r="K541" s="18"/>
      <c r="L541" s="88">
        <f>SUM(F541:K541)</f>
        <v>713309.63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f>95107.95</f>
        <v>95107.95</v>
      </c>
      <c r="I542" s="18"/>
      <c r="J542" s="18"/>
      <c r="K542" s="18"/>
      <c r="L542" s="88">
        <f>SUM(F542:K542)</f>
        <v>95107.95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142661.92</f>
        <v>142661.92000000001</v>
      </c>
      <c r="I543" s="18"/>
      <c r="J543" s="18"/>
      <c r="K543" s="18"/>
      <c r="L543" s="88">
        <f>SUM(F543:K543)</f>
        <v>142661.92000000001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2">SUM(G541:G543)</f>
        <v>0</v>
      </c>
      <c r="H544" s="193">
        <f t="shared" si="42"/>
        <v>951079.5</v>
      </c>
      <c r="I544" s="193">
        <f t="shared" si="42"/>
        <v>0</v>
      </c>
      <c r="J544" s="193">
        <f t="shared" si="42"/>
        <v>0</v>
      </c>
      <c r="K544" s="193">
        <f t="shared" si="42"/>
        <v>0</v>
      </c>
      <c r="L544" s="193">
        <f t="shared" si="42"/>
        <v>951079.5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9908508.4000000004</v>
      </c>
      <c r="G545" s="89">
        <f t="shared" ref="G545:L545" si="43">G524+G529+G534+G539+G544</f>
        <v>4123981.4007999999</v>
      </c>
      <c r="H545" s="89">
        <f t="shared" si="43"/>
        <v>2646549.62</v>
      </c>
      <c r="I545" s="89">
        <f t="shared" si="43"/>
        <v>80143.58</v>
      </c>
      <c r="J545" s="89">
        <f t="shared" si="43"/>
        <v>22711.84</v>
      </c>
      <c r="K545" s="89">
        <f t="shared" si="43"/>
        <v>1218</v>
      </c>
      <c r="L545" s="89">
        <f t="shared" si="43"/>
        <v>16783112.840799995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5343239.8077599993</v>
      </c>
      <c r="G549" s="87">
        <f>L526</f>
        <v>2151923.4063999997</v>
      </c>
      <c r="H549" s="87">
        <f>L531</f>
        <v>338694.96483999997</v>
      </c>
      <c r="I549" s="87">
        <f>L536</f>
        <v>2413.5100000000002</v>
      </c>
      <c r="J549" s="87">
        <f>L541</f>
        <v>713309.63</v>
      </c>
      <c r="K549" s="87">
        <f>SUM(F549:J549)</f>
        <v>8549581.3189999983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2528085.0558399991</v>
      </c>
      <c r="G550" s="87">
        <f>L527</f>
        <v>375612.30088</v>
      </c>
      <c r="H550" s="87">
        <f>L532</f>
        <v>208212.57379999998</v>
      </c>
      <c r="I550" s="87">
        <f>L537</f>
        <v>1353.92</v>
      </c>
      <c r="J550" s="87">
        <f>L542</f>
        <v>95107.95</v>
      </c>
      <c r="K550" s="87">
        <f>SUM(F550:J550)</f>
        <v>3208371.8005199991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4117319.6428799992</v>
      </c>
      <c r="G551" s="87">
        <f>L528</f>
        <v>513290.17436</v>
      </c>
      <c r="H551" s="87">
        <f>L533</f>
        <v>249768.80403999999</v>
      </c>
      <c r="I551" s="87">
        <f>L538</f>
        <v>2119.1799999999998</v>
      </c>
      <c r="J551" s="87">
        <f>L543</f>
        <v>142661.92000000001</v>
      </c>
      <c r="K551" s="87">
        <f>SUM(F551:J551)</f>
        <v>5025159.7212799983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4">SUM(F549:F551)</f>
        <v>11988644.506479997</v>
      </c>
      <c r="G552" s="89">
        <f t="shared" si="44"/>
        <v>3040825.8816399998</v>
      </c>
      <c r="H552" s="89">
        <f t="shared" si="44"/>
        <v>796676.34267999989</v>
      </c>
      <c r="I552" s="89">
        <f t="shared" si="44"/>
        <v>5886.6100000000006</v>
      </c>
      <c r="J552" s="89">
        <f t="shared" si="44"/>
        <v>951079.5</v>
      </c>
      <c r="K552" s="89">
        <f t="shared" si="44"/>
        <v>16783112.840799995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5">SUM(F557:F559)</f>
        <v>0</v>
      </c>
      <c r="G560" s="108">
        <f t="shared" si="45"/>
        <v>0</v>
      </c>
      <c r="H560" s="108">
        <f t="shared" si="45"/>
        <v>0</v>
      </c>
      <c r="I560" s="108">
        <f t="shared" si="45"/>
        <v>0</v>
      </c>
      <c r="J560" s="108">
        <f t="shared" si="45"/>
        <v>0</v>
      </c>
      <c r="K560" s="108">
        <f t="shared" si="45"/>
        <v>0</v>
      </c>
      <c r="L560" s="89">
        <f t="shared" si="45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17255.41</v>
      </c>
      <c r="G562" s="18">
        <f>F562*0.412</f>
        <v>7109.2289199999996</v>
      </c>
      <c r="H562" s="18"/>
      <c r="I562" s="18">
        <v>197.03</v>
      </c>
      <c r="J562" s="18"/>
      <c r="K562" s="18"/>
      <c r="L562" s="88">
        <f>SUM(F562:K562)</f>
        <v>24561.668919999996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51766.22</v>
      </c>
      <c r="G564" s="18">
        <f>F564*0.412</f>
        <v>21327.682639999999</v>
      </c>
      <c r="H564" s="18"/>
      <c r="I564" s="18">
        <v>17255.41</v>
      </c>
      <c r="J564" s="18"/>
      <c r="K564" s="18"/>
      <c r="L564" s="88">
        <f>SUM(F564:K564)</f>
        <v>90349.312640000004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6">SUM(F562:F564)</f>
        <v>69021.63</v>
      </c>
      <c r="G565" s="89">
        <f t="shared" si="46"/>
        <v>28436.91156</v>
      </c>
      <c r="H565" s="89">
        <f t="shared" si="46"/>
        <v>0</v>
      </c>
      <c r="I565" s="89">
        <f t="shared" si="46"/>
        <v>17452.439999999999</v>
      </c>
      <c r="J565" s="89">
        <f t="shared" si="46"/>
        <v>0</v>
      </c>
      <c r="K565" s="89">
        <f t="shared" si="46"/>
        <v>0</v>
      </c>
      <c r="L565" s="89">
        <f t="shared" si="46"/>
        <v>114910.98156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f>114272.25+96770.71+87257.18+5309.75</f>
        <v>303609.89</v>
      </c>
      <c r="G567" s="18">
        <f>F567*0.412</f>
        <v>125087.27468</v>
      </c>
      <c r="H567" s="18">
        <f>2500</f>
        <v>2500</v>
      </c>
      <c r="I567" s="18">
        <f>924.12</f>
        <v>924.12</v>
      </c>
      <c r="J567" s="18"/>
      <c r="K567" s="18">
        <f>1705</f>
        <v>1705</v>
      </c>
      <c r="L567" s="88">
        <f>SUM(F567:K567)</f>
        <v>433826.28468000004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f>141150.88+5309.75</f>
        <v>146460.63</v>
      </c>
      <c r="G568" s="18">
        <f>F568*0.412</f>
        <v>60341.779559999995</v>
      </c>
      <c r="H568" s="18">
        <f>2500</f>
        <v>2500</v>
      </c>
      <c r="I568" s="18">
        <f>6515.7+924.13</f>
        <v>7439.83</v>
      </c>
      <c r="J568" s="18"/>
      <c r="K568" s="18">
        <f>1705</f>
        <v>1705</v>
      </c>
      <c r="L568" s="88">
        <f>SUM(F568:K568)</f>
        <v>218447.23955999999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450070.52</v>
      </c>
      <c r="G570" s="193">
        <f t="shared" ref="G570:L570" si="47">SUM(G567:G569)</f>
        <v>185429.05424</v>
      </c>
      <c r="H570" s="193">
        <f t="shared" si="47"/>
        <v>5000</v>
      </c>
      <c r="I570" s="193">
        <f t="shared" si="47"/>
        <v>8363.9500000000007</v>
      </c>
      <c r="J570" s="193">
        <f t="shared" si="47"/>
        <v>0</v>
      </c>
      <c r="K570" s="193">
        <f t="shared" si="47"/>
        <v>3410</v>
      </c>
      <c r="L570" s="193">
        <f t="shared" si="47"/>
        <v>652273.52424000006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519092.15</v>
      </c>
      <c r="G571" s="89">
        <f t="shared" ref="G571:L571" si="48">G560+G565+G570</f>
        <v>213865.96580000001</v>
      </c>
      <c r="H571" s="89">
        <f t="shared" si="48"/>
        <v>5000</v>
      </c>
      <c r="I571" s="89">
        <f t="shared" si="48"/>
        <v>25816.39</v>
      </c>
      <c r="J571" s="89">
        <f t="shared" si="48"/>
        <v>0</v>
      </c>
      <c r="K571" s="89">
        <f t="shared" si="48"/>
        <v>3410</v>
      </c>
      <c r="L571" s="89">
        <f t="shared" si="48"/>
        <v>767184.50580000004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9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9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9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9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9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9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164848.99</f>
        <v>164848.99</v>
      </c>
      <c r="G582" s="18">
        <f>171098.72</f>
        <v>171098.72</v>
      </c>
      <c r="H582" s="18">
        <f>968147.26+7923.25</f>
        <v>976070.51</v>
      </c>
      <c r="I582" s="87">
        <f t="shared" si="49"/>
        <v>1312018.22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9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101861.56</v>
      </c>
      <c r="I584" s="87">
        <f t="shared" si="49"/>
        <v>101861.56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9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9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9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863581.45</v>
      </c>
      <c r="I591" s="18">
        <v>647686.09</v>
      </c>
      <c r="J591" s="18">
        <f>647686.09-42064.15-20783.15</f>
        <v>584838.78999999992</v>
      </c>
      <c r="K591" s="104">
        <f t="shared" ref="K591:K597" si="50">SUM(H591:J591)</f>
        <v>2096106.33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713309.63</v>
      </c>
      <c r="I592" s="18">
        <v>95107.95</v>
      </c>
      <c r="J592" s="18">
        <v>142661.92000000001</v>
      </c>
      <c r="K592" s="104">
        <f t="shared" si="50"/>
        <v>951079.5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f>42064.15+20783.15</f>
        <v>62847.3</v>
      </c>
      <c r="K593" s="104">
        <f t="shared" si="50"/>
        <v>62847.3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f>16371.04</f>
        <v>16371.04</v>
      </c>
      <c r="J594" s="18">
        <f>81802.67</f>
        <v>81802.67</v>
      </c>
      <c r="K594" s="104">
        <f t="shared" si="50"/>
        <v>98173.709999999992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344</f>
        <v>344</v>
      </c>
      <c r="I595" s="18">
        <f>848.25</f>
        <v>848.25</v>
      </c>
      <c r="J595" s="18">
        <f>480.2+12584.11</f>
        <v>13064.310000000001</v>
      </c>
      <c r="K595" s="104">
        <f t="shared" si="50"/>
        <v>14256.560000000001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0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0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1577235.08</v>
      </c>
      <c r="I598" s="108">
        <f>SUM(I591:I597)</f>
        <v>760013.33</v>
      </c>
      <c r="J598" s="108">
        <f>SUM(J591:J597)</f>
        <v>885214.99000000011</v>
      </c>
      <c r="K598" s="108">
        <f>SUM(K591:K597)</f>
        <v>3222463.4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260218.62</v>
      </c>
      <c r="I604" s="18">
        <v>181087.11</v>
      </c>
      <c r="J604" s="18">
        <v>314941.98</v>
      </c>
      <c r="K604" s="104">
        <f>SUM(H604:J604)</f>
        <v>756247.71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260218.62</v>
      </c>
      <c r="I605" s="108">
        <f>SUM(I602:I604)</f>
        <v>181087.11</v>
      </c>
      <c r="J605" s="108">
        <f>SUM(J602:J604)</f>
        <v>314941.98</v>
      </c>
      <c r="K605" s="108">
        <f>SUM(K602:K604)</f>
        <v>756247.71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4399.48</f>
        <v>4399.4799999999996</v>
      </c>
      <c r="G611" s="18">
        <f>F611*0.412</f>
        <v>1812.5857599999997</v>
      </c>
      <c r="H611" s="18"/>
      <c r="I611" s="18">
        <f>90.08</f>
        <v>90.08</v>
      </c>
      <c r="J611" s="18"/>
      <c r="K611" s="18"/>
      <c r="L611" s="88">
        <f>SUM(F611:K611)</f>
        <v>6302.1457599999994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f>2288</f>
        <v>2288</v>
      </c>
      <c r="G612" s="18">
        <f>F612*0.412</f>
        <v>942.65599999999995</v>
      </c>
      <c r="H612" s="18"/>
      <c r="I612" s="18"/>
      <c r="J612" s="18"/>
      <c r="K612" s="18"/>
      <c r="L612" s="88">
        <f>SUM(F612:K612)</f>
        <v>3230.6559999999999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20379.15</f>
        <v>20379.150000000001</v>
      </c>
      <c r="G613" s="18">
        <f>F613*0.412</f>
        <v>8396.2098000000005</v>
      </c>
      <c r="H613" s="18"/>
      <c r="I613" s="18">
        <f>625</f>
        <v>625</v>
      </c>
      <c r="J613" s="18"/>
      <c r="K613" s="18"/>
      <c r="L613" s="88">
        <f>SUM(F613:K613)</f>
        <v>29400.359800000002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1">SUM(F611:F613)</f>
        <v>27066.63</v>
      </c>
      <c r="G614" s="108">
        <f t="shared" si="51"/>
        <v>11151.451560000001</v>
      </c>
      <c r="H614" s="108">
        <f t="shared" si="51"/>
        <v>0</v>
      </c>
      <c r="I614" s="108">
        <f t="shared" si="51"/>
        <v>715.08</v>
      </c>
      <c r="J614" s="108">
        <f t="shared" si="51"/>
        <v>0</v>
      </c>
      <c r="K614" s="108">
        <f t="shared" si="51"/>
        <v>0</v>
      </c>
      <c r="L614" s="89">
        <f t="shared" si="51"/>
        <v>38933.16156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4938264.8899999997</v>
      </c>
      <c r="H617" s="109">
        <f>SUM(F52)</f>
        <v>4938264.8900000006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93602.209999999992</v>
      </c>
      <c r="H618" s="109">
        <f>SUM(G52)</f>
        <v>93602.209999999992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379435.14</v>
      </c>
      <c r="H619" s="109">
        <f>SUM(H52)</f>
        <v>379435.14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2095061.63</v>
      </c>
      <c r="H620" s="109">
        <f>SUM(I52)</f>
        <v>2095061.63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617939.94000000006</v>
      </c>
      <c r="H621" s="109">
        <f>SUM(J52)</f>
        <v>617939.94000000006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2178430.2400000002</v>
      </c>
      <c r="H622" s="109">
        <f>F476</f>
        <v>2178430.2400000021</v>
      </c>
      <c r="I622" s="121" t="s">
        <v>101</v>
      </c>
      <c r="J622" s="109">
        <f t="shared" ref="J622:J655" si="52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29754.39</v>
      </c>
      <c r="H623" s="109">
        <f>G476</f>
        <v>29754.389999999898</v>
      </c>
      <c r="I623" s="121" t="s">
        <v>102</v>
      </c>
      <c r="J623" s="109">
        <f t="shared" si="52"/>
        <v>1.0186340659856796E-10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75412.710000000006</v>
      </c>
      <c r="H624" s="109">
        <f>H476</f>
        <v>75412.710000000196</v>
      </c>
      <c r="I624" s="121" t="s">
        <v>103</v>
      </c>
      <c r="J624" s="109">
        <f t="shared" si="52"/>
        <v>-1.8917489796876907E-10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2055061.63</v>
      </c>
      <c r="H625" s="109">
        <f>I476</f>
        <v>2055061.63</v>
      </c>
      <c r="I625" s="121" t="s">
        <v>104</v>
      </c>
      <c r="J625" s="109">
        <f t="shared" si="52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429956.94000000006</v>
      </c>
      <c r="H626" s="109">
        <f>J476</f>
        <v>429956.93999999994</v>
      </c>
      <c r="I626" s="140" t="s">
        <v>105</v>
      </c>
      <c r="J626" s="109">
        <f t="shared" si="52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66769454.460000001</v>
      </c>
      <c r="H627" s="104">
        <f>SUM(F468)</f>
        <v>66769454.460000001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1371985.8800000001</v>
      </c>
      <c r="H628" s="104">
        <f>SUM(G468)</f>
        <v>1371985.88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1439189.3599999999</v>
      </c>
      <c r="H629" s="104">
        <f>SUM(H468)</f>
        <v>1439189.36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4115486.4</v>
      </c>
      <c r="H630" s="104">
        <f>SUM(I468)</f>
        <v>4115486.4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600088.79</v>
      </c>
      <c r="H631" s="104">
        <f>SUM(J468)</f>
        <v>600088.79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65624786.210000001</v>
      </c>
      <c r="H632" s="104">
        <f>SUM(F472)</f>
        <v>65624786.210000001</v>
      </c>
      <c r="I632" s="140" t="s">
        <v>111</v>
      </c>
      <c r="J632" s="109">
        <f t="shared" si="52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1442318.24</v>
      </c>
      <c r="H633" s="104">
        <f>SUM(H472)</f>
        <v>1442318.24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724360.38</v>
      </c>
      <c r="H634" s="104">
        <f>I369</f>
        <v>724360.38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1366634.3</v>
      </c>
      <c r="H635" s="104">
        <f>SUM(G472)</f>
        <v>1366634.3</v>
      </c>
      <c r="I635" s="140" t="s">
        <v>114</v>
      </c>
      <c r="J635" s="109">
        <f t="shared" si="52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1775330.77</v>
      </c>
      <c r="H636" s="104">
        <f>SUM(I472)</f>
        <v>1775330.77</v>
      </c>
      <c r="I636" s="140" t="s">
        <v>116</v>
      </c>
      <c r="J636" s="109">
        <f t="shared" si="52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600088.79</v>
      </c>
      <c r="H637" s="164">
        <f>SUM(J468)</f>
        <v>600088.79</v>
      </c>
      <c r="I637" s="165" t="s">
        <v>110</v>
      </c>
      <c r="J637" s="151">
        <f t="shared" si="52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599382.76</v>
      </c>
      <c r="H638" s="164">
        <f>SUM(J472)</f>
        <v>599382.76</v>
      </c>
      <c r="I638" s="165" t="s">
        <v>117</v>
      </c>
      <c r="J638" s="151">
        <f t="shared" si="52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93647.91</v>
      </c>
      <c r="H639" s="104">
        <f>SUM(F461)</f>
        <v>93647.91</v>
      </c>
      <c r="I639" s="140" t="s">
        <v>857</v>
      </c>
      <c r="J639" s="109">
        <f t="shared" si="52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524292.03</v>
      </c>
      <c r="H640" s="104">
        <f>SUM(G461)</f>
        <v>524292.03</v>
      </c>
      <c r="I640" s="140" t="s">
        <v>858</v>
      </c>
      <c r="J640" s="109">
        <f t="shared" si="52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2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617939.94000000006</v>
      </c>
      <c r="H642" s="104">
        <f>SUM(I461)</f>
        <v>617939.94000000006</v>
      </c>
      <c r="I642" s="140" t="s">
        <v>860</v>
      </c>
      <c r="J642" s="109">
        <f t="shared" si="52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2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88.79</v>
      </c>
      <c r="H644" s="104">
        <f>H408</f>
        <v>88.789999999999992</v>
      </c>
      <c r="I644" s="140" t="s">
        <v>481</v>
      </c>
      <c r="J644" s="109">
        <f t="shared" si="52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600000</v>
      </c>
      <c r="H645" s="104">
        <f>G408</f>
        <v>600000</v>
      </c>
      <c r="I645" s="140" t="s">
        <v>482</v>
      </c>
      <c r="J645" s="109">
        <f t="shared" si="52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600088.79</v>
      </c>
      <c r="H646" s="104">
        <f>L408</f>
        <v>600088.79</v>
      </c>
      <c r="I646" s="140" t="s">
        <v>478</v>
      </c>
      <c r="J646" s="109">
        <f t="shared" si="52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3222463.4</v>
      </c>
      <c r="H647" s="104">
        <f>L208+L226+L244</f>
        <v>3222463.4000000004</v>
      </c>
      <c r="I647" s="140" t="s">
        <v>397</v>
      </c>
      <c r="J647" s="109">
        <f t="shared" si="52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756247.71</v>
      </c>
      <c r="H648" s="104">
        <f>(J257+J338)-(J255+J336)</f>
        <v>756247.71</v>
      </c>
      <c r="I648" s="140" t="s">
        <v>703</v>
      </c>
      <c r="J648" s="109">
        <f t="shared" si="52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1577235.08</v>
      </c>
      <c r="H649" s="104">
        <f>H598</f>
        <v>1577235.08</v>
      </c>
      <c r="I649" s="140" t="s">
        <v>389</v>
      </c>
      <c r="J649" s="109">
        <f t="shared" si="52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760013.33000000007</v>
      </c>
      <c r="H650" s="104">
        <f>I598</f>
        <v>760013.33</v>
      </c>
      <c r="I650" s="140" t="s">
        <v>390</v>
      </c>
      <c r="J650" s="109">
        <f t="shared" si="52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885214.99</v>
      </c>
      <c r="H651" s="104">
        <f>J598</f>
        <v>885214.99000000011</v>
      </c>
      <c r="I651" s="140" t="s">
        <v>391</v>
      </c>
      <c r="J651" s="109">
        <f t="shared" si="52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12421.8</v>
      </c>
      <c r="H652" s="104">
        <f>K263+K345</f>
        <v>12421.8</v>
      </c>
      <c r="I652" s="140" t="s">
        <v>398</v>
      </c>
      <c r="J652" s="109">
        <f t="shared" si="52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2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2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600000</v>
      </c>
      <c r="H655" s="104">
        <f>K266+K347</f>
        <v>600000</v>
      </c>
      <c r="I655" s="140" t="s">
        <v>401</v>
      </c>
      <c r="J655" s="109">
        <f t="shared" si="52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26944310.350000005</v>
      </c>
      <c r="G660" s="19">
        <f>(L229+L309+L359)</f>
        <v>14400597.15</v>
      </c>
      <c r="H660" s="19">
        <f>(L247+L328+L360)</f>
        <v>23658027.009999998</v>
      </c>
      <c r="I660" s="19">
        <f>SUM(F660:H660)</f>
        <v>65002934.510000005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386440.04969124333</v>
      </c>
      <c r="G661" s="19">
        <f>(L359/IF(SUM(L358:L360)=0,1,SUM(L358:L360))*(SUM(G97:G110)))</f>
        <v>237956.09029979896</v>
      </c>
      <c r="H661" s="19">
        <f>(L360/IF(SUM(L358:L360)=0,1,SUM(L358:L360))*(SUM(G97:G110)))</f>
        <v>366679.1100089578</v>
      </c>
      <c r="I661" s="19">
        <f>SUM(F661:H661)</f>
        <v>991075.25000000012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1577235.08</v>
      </c>
      <c r="G662" s="19">
        <f>(L226+L306)-(J226+J306)</f>
        <v>760013.33000000007</v>
      </c>
      <c r="H662" s="19">
        <f>(L244+L325)-(J244+J325)</f>
        <v>885214.99</v>
      </c>
      <c r="I662" s="19">
        <f>SUM(F662:H662)</f>
        <v>3222463.4000000004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431369.75575999997</v>
      </c>
      <c r="G663" s="199">
        <f>SUM(G575:G587)+SUM(I602:I604)+L612</f>
        <v>355416.48599999998</v>
      </c>
      <c r="H663" s="199">
        <f>SUM(H575:H587)+SUM(J602:J604)+L613</f>
        <v>1422274.4098</v>
      </c>
      <c r="I663" s="19">
        <f>SUM(F663:H663)</f>
        <v>2209060.6515600001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24549265.464548763</v>
      </c>
      <c r="G664" s="19">
        <f>G660-SUM(G661:G663)</f>
        <v>13047211.243700201</v>
      </c>
      <c r="H664" s="19">
        <f>H660-SUM(H661:H663)</f>
        <v>20983858.50019104</v>
      </c>
      <c r="I664" s="19">
        <f>I660-SUM(I661:I663)</f>
        <v>58580335.208440006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1600.57</v>
      </c>
      <c r="G665" s="248">
        <v>1020.68</v>
      </c>
      <c r="H665" s="248">
        <v>1588.32</v>
      </c>
      <c r="I665" s="19">
        <f>SUM(F665:H665)</f>
        <v>4209.57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15337.83</v>
      </c>
      <c r="G667" s="19">
        <f>ROUND(G664/G665,2)</f>
        <v>12782.86</v>
      </c>
      <c r="H667" s="19">
        <f>ROUND(H664/H665,2)</f>
        <v>13211.35</v>
      </c>
      <c r="I667" s="19">
        <f>ROUND(I664/I665,2)</f>
        <v>13915.99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-31.61</v>
      </c>
      <c r="I670" s="19">
        <f>SUM(F670:H670)</f>
        <v>-31.61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15337.83</v>
      </c>
      <c r="G672" s="19">
        <f>ROUND((G664+G669)/(G665+G670),2)</f>
        <v>12782.86</v>
      </c>
      <c r="H672" s="19">
        <f>ROUND((H664+H669)/(H665+H670),2)</f>
        <v>13479.62</v>
      </c>
      <c r="I672" s="19">
        <f>ROUND((I664+I669)/(I665+I670),2)</f>
        <v>14021.28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Londonderry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18042197.48</v>
      </c>
      <c r="C9" s="229">
        <f>'DOE25'!G197+'DOE25'!G215+'DOE25'!G233+'DOE25'!G276+'DOE25'!G295+'DOE25'!G314</f>
        <v>7304107.1200000001</v>
      </c>
    </row>
    <row r="10" spans="1:3" x14ac:dyDescent="0.2">
      <c r="A10" t="s">
        <v>779</v>
      </c>
      <c r="B10" s="240">
        <f>17188775</f>
        <v>17188775</v>
      </c>
      <c r="C10" s="240">
        <v>7109489.1200000001</v>
      </c>
    </row>
    <row r="11" spans="1:3" x14ac:dyDescent="0.2">
      <c r="A11" t="s">
        <v>780</v>
      </c>
      <c r="B11" s="240">
        <f>428717.59-8969.68</f>
        <v>419747.91000000003</v>
      </c>
      <c r="C11" s="240">
        <v>124169</v>
      </c>
    </row>
    <row r="12" spans="1:3" x14ac:dyDescent="0.2">
      <c r="A12" t="s">
        <v>781</v>
      </c>
      <c r="B12" s="240">
        <f>8969.68+424704.92-0.03</f>
        <v>433674.56999999995</v>
      </c>
      <c r="C12" s="240">
        <v>70449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18042197.48</v>
      </c>
      <c r="C13" s="231">
        <f>SUM(C10:C12)</f>
        <v>7304107.1200000001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8209433.8099999996</v>
      </c>
      <c r="C18" s="229">
        <f>'DOE25'!G198+'DOE25'!G216+'DOE25'!G234+'DOE25'!G277+'DOE25'!G296+'DOE25'!G315</f>
        <v>3226203.8</v>
      </c>
    </row>
    <row r="19" spans="1:3" x14ac:dyDescent="0.2">
      <c r="A19" t="s">
        <v>779</v>
      </c>
      <c r="B19" s="240">
        <f>5509967.8-74828.64-83361.98-91894.92+10619.5</f>
        <v>5270501.76</v>
      </c>
      <c r="C19" s="240">
        <v>2207645.7999999998</v>
      </c>
    </row>
    <row r="20" spans="1:3" x14ac:dyDescent="0.2">
      <c r="A20" t="s">
        <v>780</v>
      </c>
      <c r="B20" s="240">
        <f>2572157.63-152361.38</f>
        <v>2419796.25</v>
      </c>
      <c r="C20" s="240">
        <v>850427</v>
      </c>
    </row>
    <row r="21" spans="1:3" x14ac:dyDescent="0.2">
      <c r="A21" t="s">
        <v>781</v>
      </c>
      <c r="B21" s="240">
        <f>47326.93+69361.95+152361.38+74828.64+83361.98+91894.92</f>
        <v>519135.8</v>
      </c>
      <c r="C21" s="240">
        <v>168131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8209433.8099999996</v>
      </c>
      <c r="C22" s="231">
        <f>SUM(C19:C21)</f>
        <v>3226203.8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889838.87</v>
      </c>
      <c r="C36" s="235">
        <f>'DOE25'!G200+'DOE25'!G218+'DOE25'!G236+'DOE25'!G279+'DOE25'!G298+'DOE25'!G317</f>
        <v>351119.96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889838.87</v>
      </c>
      <c r="C39" s="240">
        <v>351119.96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889838.87</v>
      </c>
      <c r="C40" s="231">
        <f>SUM(C37:C39)</f>
        <v>351119.96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1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Londonderry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39414360.850000001</v>
      </c>
      <c r="D5" s="20">
        <f>SUM('DOE25'!L197:L200)+SUM('DOE25'!L215:L218)+SUM('DOE25'!L233:L236)-F5-G5</f>
        <v>39234020.530000001</v>
      </c>
      <c r="E5" s="243"/>
      <c r="F5" s="255">
        <f>SUM('DOE25'!J197:J200)+SUM('DOE25'!J215:J218)+SUM('DOE25'!J233:J236)</f>
        <v>134429.51</v>
      </c>
      <c r="G5" s="53">
        <f>SUM('DOE25'!K197:K200)+SUM('DOE25'!K215:K218)+SUM('DOE25'!K233:K236)</f>
        <v>45910.81</v>
      </c>
      <c r="H5" s="259"/>
    </row>
    <row r="6" spans="1:9" x14ac:dyDescent="0.2">
      <c r="A6" s="32">
        <v>2100</v>
      </c>
      <c r="B6" t="s">
        <v>801</v>
      </c>
      <c r="C6" s="245">
        <f t="shared" si="0"/>
        <v>5315553.4600000009</v>
      </c>
      <c r="D6" s="20">
        <f>'DOE25'!L202+'DOE25'!L220+'DOE25'!L238-F6-G6</f>
        <v>5313568.4600000009</v>
      </c>
      <c r="E6" s="243"/>
      <c r="F6" s="255">
        <f>'DOE25'!J202+'DOE25'!J220+'DOE25'!J238</f>
        <v>0</v>
      </c>
      <c r="G6" s="53">
        <f>'DOE25'!K202+'DOE25'!K220+'DOE25'!K238</f>
        <v>1985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1973501.67</v>
      </c>
      <c r="D7" s="20">
        <f>'DOE25'!L203+'DOE25'!L221+'DOE25'!L239-F7-G7</f>
        <v>1913551.78</v>
      </c>
      <c r="E7" s="243"/>
      <c r="F7" s="255">
        <f>'DOE25'!J203+'DOE25'!J221+'DOE25'!J239</f>
        <v>57705.89</v>
      </c>
      <c r="G7" s="53">
        <f>'DOE25'!K203+'DOE25'!K221+'DOE25'!K239</f>
        <v>2244</v>
      </c>
      <c r="H7" s="259"/>
    </row>
    <row r="8" spans="1:9" x14ac:dyDescent="0.2">
      <c r="A8" s="32">
        <v>2300</v>
      </c>
      <c r="B8" t="s">
        <v>802</v>
      </c>
      <c r="C8" s="245">
        <f t="shared" si="0"/>
        <v>368876.84</v>
      </c>
      <c r="D8" s="243"/>
      <c r="E8" s="20">
        <f>'DOE25'!L204+'DOE25'!L222+'DOE25'!L240-F8-G8-D9-D11</f>
        <v>346646.41000000003</v>
      </c>
      <c r="F8" s="255">
        <f>'DOE25'!J204+'DOE25'!J222+'DOE25'!J240</f>
        <v>4572.3100000000004</v>
      </c>
      <c r="G8" s="53">
        <f>'DOE25'!K204+'DOE25'!K222+'DOE25'!K240</f>
        <v>17658.120000000003</v>
      </c>
      <c r="H8" s="259"/>
    </row>
    <row r="9" spans="1:9" x14ac:dyDescent="0.2">
      <c r="A9" s="32">
        <v>2310</v>
      </c>
      <c r="B9" t="s">
        <v>818</v>
      </c>
      <c r="C9" s="245">
        <f t="shared" si="0"/>
        <v>41396.81</v>
      </c>
      <c r="D9" s="244">
        <v>41396.81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21283.55</v>
      </c>
      <c r="D10" s="243"/>
      <c r="E10" s="244">
        <v>21283.55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548740.88</v>
      </c>
      <c r="D11" s="244">
        <v>548740.88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2967092.82</v>
      </c>
      <c r="D12" s="20">
        <f>'DOE25'!L205+'DOE25'!L223+'DOE25'!L241-F12-G12</f>
        <v>2953820.9099999997</v>
      </c>
      <c r="E12" s="243"/>
      <c r="F12" s="255">
        <f>'DOE25'!J205+'DOE25'!J223+'DOE25'!J241</f>
        <v>0</v>
      </c>
      <c r="G12" s="53">
        <f>'DOE25'!K205+'DOE25'!K223+'DOE25'!K241</f>
        <v>13271.91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778381.04</v>
      </c>
      <c r="D13" s="243"/>
      <c r="E13" s="20">
        <f>'DOE25'!L206+'DOE25'!L224+'DOE25'!L242-F13-G13</f>
        <v>778381.04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6101517.6500000004</v>
      </c>
      <c r="D14" s="20">
        <f>'DOE25'!L207+'DOE25'!L225+'DOE25'!L243-F14-G14</f>
        <v>6000536.1500000004</v>
      </c>
      <c r="E14" s="243"/>
      <c r="F14" s="255">
        <f>'DOE25'!J207+'DOE25'!J225+'DOE25'!J243</f>
        <v>75289.119999999995</v>
      </c>
      <c r="G14" s="53">
        <f>'DOE25'!K207+'DOE25'!K225+'DOE25'!K243</f>
        <v>25692.380000000005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3222463.4000000004</v>
      </c>
      <c r="D15" s="20">
        <f>'DOE25'!L208+'DOE25'!L226+'DOE25'!L244-F15-G15</f>
        <v>3222463.4000000004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1517217.3900000001</v>
      </c>
      <c r="D16" s="243"/>
      <c r="E16" s="20">
        <f>'DOE25'!L209+'DOE25'!L227+'DOE25'!L245-F16-G16</f>
        <v>1052182.0500000003</v>
      </c>
      <c r="F16" s="255">
        <f>'DOE25'!J209+'DOE25'!J227+'DOE25'!J245</f>
        <v>465035.33999999997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67045.53</v>
      </c>
      <c r="D17" s="20">
        <f>'DOE25'!L251-F17-G17</f>
        <v>67045.53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2696216.0700000003</v>
      </c>
      <c r="D25" s="243"/>
      <c r="E25" s="243"/>
      <c r="F25" s="258"/>
      <c r="G25" s="256"/>
      <c r="H25" s="257">
        <f>'DOE25'!L260+'DOE25'!L261+'DOE25'!L341+'DOE25'!L342</f>
        <v>2696216.0700000003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701112.38</v>
      </c>
      <c r="D29" s="20">
        <f>'DOE25'!L358+'DOE25'!L359+'DOE25'!L360-'DOE25'!I367-F29-G29</f>
        <v>678294.38</v>
      </c>
      <c r="E29" s="243"/>
      <c r="F29" s="255">
        <f>'DOE25'!J358+'DOE25'!J359+'DOE25'!J360</f>
        <v>0</v>
      </c>
      <c r="G29" s="53">
        <f>'DOE25'!K358+'DOE25'!K359+'DOE25'!K360</f>
        <v>22818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1442318.24</v>
      </c>
      <c r="D31" s="20">
        <f>'DOE25'!L290+'DOE25'!L309+'DOE25'!L328+'DOE25'!L333+'DOE25'!L334+'DOE25'!L335-F31-G31</f>
        <v>1423102.7</v>
      </c>
      <c r="E31" s="243"/>
      <c r="F31" s="255">
        <f>'DOE25'!J290+'DOE25'!J309+'DOE25'!J328+'DOE25'!J333+'DOE25'!J334+'DOE25'!J335</f>
        <v>19215.54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61396541.530000009</v>
      </c>
      <c r="E33" s="246">
        <f>SUM(E5:E31)</f>
        <v>2198493.0500000003</v>
      </c>
      <c r="F33" s="246">
        <f>SUM(F5:F31)</f>
        <v>756247.71</v>
      </c>
      <c r="G33" s="246">
        <f>SUM(G5:G31)</f>
        <v>129580.22</v>
      </c>
      <c r="H33" s="246">
        <f>SUM(H5:H31)</f>
        <v>2696216.0700000003</v>
      </c>
    </row>
    <row r="35" spans="2:8" ht="12" thickBot="1" x14ac:dyDescent="0.25">
      <c r="B35" s="253" t="s">
        <v>847</v>
      </c>
      <c r="D35" s="254">
        <f>E33</f>
        <v>2198493.0500000003</v>
      </c>
      <c r="E35" s="249"/>
    </row>
    <row r="36" spans="2:8" ht="12" thickTop="1" x14ac:dyDescent="0.2">
      <c r="B36" t="s">
        <v>815</v>
      </c>
      <c r="D36" s="20">
        <f>D33</f>
        <v>61396541.530000009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Londonderry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4726206.83</v>
      </c>
      <c r="D8" s="95">
        <f>'DOE25'!G9</f>
        <v>5600</v>
      </c>
      <c r="E8" s="95">
        <f>'DOE25'!H9</f>
        <v>0</v>
      </c>
      <c r="F8" s="95">
        <f>'DOE25'!I9</f>
        <v>0</v>
      </c>
      <c r="G8" s="95">
        <f>'DOE25'!J9</f>
        <v>617939.94000000006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187983</v>
      </c>
      <c r="D11" s="95">
        <f>'DOE25'!G12</f>
        <v>41812.33</v>
      </c>
      <c r="E11" s="95">
        <f>'DOE25'!H12</f>
        <v>0</v>
      </c>
      <c r="F11" s="95">
        <f>'DOE25'!I12</f>
        <v>2095061.63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17142.18</v>
      </c>
      <c r="E12" s="95">
        <f>'DOE25'!H13</f>
        <v>379435.14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15904.13</v>
      </c>
      <c r="D13" s="95">
        <f>'DOE25'!G14</f>
        <v>4855.5199999999995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24192.18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8170.93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4938264.8899999997</v>
      </c>
      <c r="D18" s="41">
        <f>SUM(D8:D17)</f>
        <v>93602.209999999992</v>
      </c>
      <c r="E18" s="41">
        <f>SUM(E8:E17)</f>
        <v>379435.14</v>
      </c>
      <c r="F18" s="41">
        <f>SUM(F8:F17)</f>
        <v>2095061.63</v>
      </c>
      <c r="G18" s="41">
        <f>SUM(G8:G17)</f>
        <v>617939.94000000006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1829514.09</v>
      </c>
      <c r="D21" s="95">
        <f>'DOE25'!G22</f>
        <v>0</v>
      </c>
      <c r="E21" s="95">
        <f>'DOE25'!H22</f>
        <v>294938.07</v>
      </c>
      <c r="F21" s="95">
        <f>'DOE25'!I22</f>
        <v>0</v>
      </c>
      <c r="G21" s="95">
        <f>'DOE25'!J22</f>
        <v>187983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163457.04999999999</v>
      </c>
      <c r="D23" s="95">
        <f>'DOE25'!G24</f>
        <v>47285.68</v>
      </c>
      <c r="E23" s="95">
        <f>'DOE25'!H24</f>
        <v>0</v>
      </c>
      <c r="F23" s="95">
        <f>'DOE25'!I24</f>
        <v>40000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585626.30000000005</v>
      </c>
      <c r="D27" s="95">
        <f>'DOE25'!G28</f>
        <v>16562.14</v>
      </c>
      <c r="E27" s="95">
        <f>'DOE25'!H28</f>
        <v>9084.36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181237.21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2759834.6500000004</v>
      </c>
      <c r="D31" s="41">
        <f>SUM(D21:D30)</f>
        <v>63847.82</v>
      </c>
      <c r="E31" s="41">
        <f>SUM(E21:E30)</f>
        <v>304022.43</v>
      </c>
      <c r="F31" s="41">
        <f>SUM(F21:F30)</f>
        <v>40000</v>
      </c>
      <c r="G31" s="41">
        <f>SUM(G21:G30)</f>
        <v>187983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24192.18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8170.93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75412.710000000006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2055061.63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302810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5562.21</v>
      </c>
      <c r="E47" s="95">
        <f>'DOE25'!H48</f>
        <v>0</v>
      </c>
      <c r="F47" s="95">
        <f>'DOE25'!I48</f>
        <v>0</v>
      </c>
      <c r="G47" s="95">
        <f>'DOE25'!J48</f>
        <v>429956.94000000006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1767449.31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2178430.2400000002</v>
      </c>
      <c r="D50" s="41">
        <f>SUM(D34:D49)</f>
        <v>29754.39</v>
      </c>
      <c r="E50" s="41">
        <f>SUM(E34:E49)</f>
        <v>75412.710000000006</v>
      </c>
      <c r="F50" s="41">
        <f>SUM(F34:F49)</f>
        <v>2055061.63</v>
      </c>
      <c r="G50" s="41">
        <f>SUM(G34:G49)</f>
        <v>429956.94000000006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4938264.8900000006</v>
      </c>
      <c r="D51" s="41">
        <f>D50+D31</f>
        <v>93602.209999999992</v>
      </c>
      <c r="E51" s="41">
        <f>E50+E31</f>
        <v>379435.14</v>
      </c>
      <c r="F51" s="41">
        <f>F50+F31</f>
        <v>2095061.63</v>
      </c>
      <c r="G51" s="41">
        <f>G50+G31</f>
        <v>617939.94000000006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45588816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810126.51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-1015.44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36.700000000000003</v>
      </c>
      <c r="E59" s="95">
        <f>'DOE25'!H96</f>
        <v>0</v>
      </c>
      <c r="F59" s="95">
        <f>'DOE25'!I96</f>
        <v>0</v>
      </c>
      <c r="G59" s="95">
        <f>'DOE25'!J96</f>
        <v>88.79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955679.60000000009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43556.79</v>
      </c>
      <c r="D61" s="95">
        <f>SUM('DOE25'!G98:G110)</f>
        <v>35395.65</v>
      </c>
      <c r="E61" s="95">
        <f>SUM('DOE25'!H98:H110)</f>
        <v>8284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852667.8600000001</v>
      </c>
      <c r="D62" s="130">
        <f>SUM(D57:D61)</f>
        <v>991111.95000000007</v>
      </c>
      <c r="E62" s="130">
        <f>SUM(E57:E61)</f>
        <v>8284</v>
      </c>
      <c r="F62" s="130">
        <f>SUM(F57:F61)</f>
        <v>0</v>
      </c>
      <c r="G62" s="130">
        <f>SUM(G57:G61)</f>
        <v>88.79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46441483.859999999</v>
      </c>
      <c r="D63" s="22">
        <f>D56+D62</f>
        <v>991111.95000000007</v>
      </c>
      <c r="E63" s="22">
        <f>E56+E62</f>
        <v>8284</v>
      </c>
      <c r="F63" s="22">
        <f>F56+F62</f>
        <v>0</v>
      </c>
      <c r="G63" s="22">
        <f>G56+G62</f>
        <v>88.79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12169237.779999999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6283982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37.64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18453257.420000002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539694.5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439249.02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40670.699999999997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19031.46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1019614.22</v>
      </c>
      <c r="D78" s="130">
        <f>SUM(D72:D77)</f>
        <v>19031.46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19472871.640000001</v>
      </c>
      <c r="D81" s="130">
        <f>SUM(D79:D80)+D78+D70</f>
        <v>19031.46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443699.20000000001</v>
      </c>
      <c r="D88" s="95">
        <f>SUM('DOE25'!G153:G161)</f>
        <v>349420.67000000004</v>
      </c>
      <c r="E88" s="95">
        <f>SUM('DOE25'!H153:H161)</f>
        <v>1430905.3599999999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443699.20000000001</v>
      </c>
      <c r="D91" s="131">
        <f>SUM(D85:D90)</f>
        <v>349420.67000000004</v>
      </c>
      <c r="E91" s="131">
        <f>SUM(E85:E90)</f>
        <v>1430905.3599999999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4115486.4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12421.8</v>
      </c>
      <c r="E96" s="95">
        <f>'DOE25'!H179</f>
        <v>0</v>
      </c>
      <c r="F96" s="95">
        <f>'DOE25'!I179</f>
        <v>0</v>
      </c>
      <c r="G96" s="95">
        <f>'DOE25'!J179</f>
        <v>600000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137188.20000000001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274211.56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411399.76</v>
      </c>
      <c r="D103" s="86">
        <f>SUM(D93:D102)</f>
        <v>12421.8</v>
      </c>
      <c r="E103" s="86">
        <f>SUM(E93:E102)</f>
        <v>0</v>
      </c>
      <c r="F103" s="86">
        <f>SUM(F93:F102)</f>
        <v>4115486.4</v>
      </c>
      <c r="G103" s="86">
        <f>SUM(G93:G102)</f>
        <v>600000</v>
      </c>
    </row>
    <row r="104" spans="1:7" ht="12.75" thickTop="1" thickBot="1" x14ac:dyDescent="0.25">
      <c r="A104" s="33" t="s">
        <v>765</v>
      </c>
      <c r="C104" s="86">
        <f>C63+C81+C91+C103</f>
        <v>66769454.460000001</v>
      </c>
      <c r="D104" s="86">
        <f>D63+D81+D91+D103</f>
        <v>1371985.8800000001</v>
      </c>
      <c r="E104" s="86">
        <f>E63+E81+E91+E103</f>
        <v>1439189.3599999999</v>
      </c>
      <c r="F104" s="86">
        <f>F63+F81+F91+F103</f>
        <v>4115486.4</v>
      </c>
      <c r="G104" s="86">
        <f>G63+G81+G103</f>
        <v>600088.79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25761205.899999999</v>
      </c>
      <c r="D109" s="24" t="s">
        <v>289</v>
      </c>
      <c r="E109" s="95">
        <f>('DOE25'!L276)+('DOE25'!L295)+('DOE25'!L314)</f>
        <v>346277.87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12048348.459999999</v>
      </c>
      <c r="D110" s="24" t="s">
        <v>289</v>
      </c>
      <c r="E110" s="95">
        <f>('DOE25'!L277)+('DOE25'!L296)+('DOE25'!L315)</f>
        <v>842474.48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101861.56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1502944.9299999997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67045.53</v>
      </c>
      <c r="D114" s="24" t="s">
        <v>289</v>
      </c>
      <c r="E114" s="95">
        <f>+ SUM('DOE25'!L333:L335)</f>
        <v>55120.840000000004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39481406.380000003</v>
      </c>
      <c r="D115" s="86">
        <f>SUM(D109:D114)</f>
        <v>0</v>
      </c>
      <c r="E115" s="86">
        <f>SUM(E109:E114)</f>
        <v>1243873.1900000002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5315553.4600000009</v>
      </c>
      <c r="D118" s="24" t="s">
        <v>289</v>
      </c>
      <c r="E118" s="95">
        <f>+('DOE25'!L281)+('DOE25'!L300)+('DOE25'!L319)</f>
        <v>193029.12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1973501.67</v>
      </c>
      <c r="D119" s="24" t="s">
        <v>289</v>
      </c>
      <c r="E119" s="95">
        <f>+('DOE25'!L282)+('DOE25'!L301)+('DOE25'!L320)</f>
        <v>5415.93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959014.53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2967092.82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778381.04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6101517.6500000004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3222463.4000000004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1517217.3900000001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1366634.3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22834741.960000001</v>
      </c>
      <c r="D128" s="86">
        <f>SUM(D118:D127)</f>
        <v>1366634.3</v>
      </c>
      <c r="E128" s="86">
        <f>SUM(E118:E127)</f>
        <v>198445.05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1775330.77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1750000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946216.07000000007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599382.76</v>
      </c>
    </row>
    <row r="135" spans="1:7" x14ac:dyDescent="0.2">
      <c r="A135" t="s">
        <v>233</v>
      </c>
      <c r="B135" s="32" t="s">
        <v>234</v>
      </c>
      <c r="C135" s="95">
        <f>'DOE25'!L263</f>
        <v>12421.8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100019.05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500069.74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-88.790000000037253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3308637.87</v>
      </c>
      <c r="D144" s="141">
        <f>SUM(D130:D143)</f>
        <v>0</v>
      </c>
      <c r="E144" s="141">
        <f>SUM(E130:E143)</f>
        <v>0</v>
      </c>
      <c r="F144" s="141">
        <f>SUM(F130:F143)</f>
        <v>1775330.77</v>
      </c>
      <c r="G144" s="141">
        <f>SUM(G130:G143)</f>
        <v>599382.76</v>
      </c>
    </row>
    <row r="145" spans="1:9" ht="12.75" thickTop="1" thickBot="1" x14ac:dyDescent="0.25">
      <c r="A145" s="33" t="s">
        <v>244</v>
      </c>
      <c r="C145" s="86">
        <f>(C115+C128+C144)</f>
        <v>65624786.210000001</v>
      </c>
      <c r="D145" s="86">
        <f>(D115+D128+D144)</f>
        <v>1366634.3</v>
      </c>
      <c r="E145" s="86">
        <f>(E115+E128+E144)</f>
        <v>1442318.2400000002</v>
      </c>
      <c r="F145" s="86">
        <f>(F115+F128+F144)</f>
        <v>1775330.77</v>
      </c>
      <c r="G145" s="86">
        <f>(G115+G128+G144)</f>
        <v>599382.76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13</v>
      </c>
      <c r="D151" s="153">
        <f>'DOE25'!H490</f>
        <v>20</v>
      </c>
      <c r="E151" s="153">
        <f>'DOE25'!I490</f>
        <v>12</v>
      </c>
      <c r="F151" s="153">
        <f>'DOE25'!J490</f>
        <v>20</v>
      </c>
      <c r="G151" s="24" t="s">
        <v>289</v>
      </c>
    </row>
    <row r="152" spans="1:9" x14ac:dyDescent="0.2">
      <c r="A152" s="136" t="s">
        <v>28</v>
      </c>
      <c r="B152" s="152" t="str">
        <f>'DOE25'!F491</f>
        <v>04/02</v>
      </c>
      <c r="C152" s="152" t="str">
        <f>'DOE25'!G491</f>
        <v>02/04</v>
      </c>
      <c r="D152" s="152" t="str">
        <f>'DOE25'!H491</f>
        <v>07/08</v>
      </c>
      <c r="E152" s="152" t="str">
        <f>'DOE25'!I491</f>
        <v>05/14</v>
      </c>
      <c r="F152" s="152" t="str">
        <f>'DOE25'!J491</f>
        <v>07/14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07/22</v>
      </c>
      <c r="C153" s="152" t="str">
        <f>'DOE25'!G492</f>
        <v>08/16</v>
      </c>
      <c r="D153" s="152" t="str">
        <f>'DOE25'!H492</f>
        <v>07/28</v>
      </c>
      <c r="E153" s="152" t="str">
        <f>'DOE25'!I492</f>
        <v>08/26</v>
      </c>
      <c r="F153" s="152" t="str">
        <f>'DOE25'!J492</f>
        <v>07/24</v>
      </c>
      <c r="G153" s="24" t="s">
        <v>289</v>
      </c>
    </row>
    <row r="154" spans="1:9" x14ac:dyDescent="0.2">
      <c r="A154" s="136" t="s">
        <v>30</v>
      </c>
      <c r="B154" s="137">
        <f>'DOE25'!F493</f>
        <v>12030000</v>
      </c>
      <c r="C154" s="137">
        <f>'DOE25'!G493</f>
        <v>6935000</v>
      </c>
      <c r="D154" s="137">
        <f>'DOE25'!H493</f>
        <v>5100000</v>
      </c>
      <c r="E154" s="137">
        <f>'DOE25'!I493</f>
        <v>2955000</v>
      </c>
      <c r="F154" s="137">
        <f>'DOE25'!J493</f>
        <v>3895000</v>
      </c>
      <c r="G154" s="24" t="s">
        <v>289</v>
      </c>
    </row>
    <row r="155" spans="1:9" x14ac:dyDescent="0.2">
      <c r="A155" s="136" t="s">
        <v>31</v>
      </c>
      <c r="B155" s="137">
        <f>'DOE25'!F494</f>
        <v>4.57</v>
      </c>
      <c r="C155" s="137">
        <f>'DOE25'!G494</f>
        <v>3.25</v>
      </c>
      <c r="D155" s="137">
        <f>'DOE25'!H494</f>
        <v>4.09</v>
      </c>
      <c r="E155" s="137">
        <f>'DOE25'!I494</f>
        <v>1.94</v>
      </c>
      <c r="F155" s="137">
        <f>'DOE25'!J494</f>
        <v>2.14</v>
      </c>
      <c r="G155" s="24" t="s">
        <v>289</v>
      </c>
    </row>
    <row r="156" spans="1:9" x14ac:dyDescent="0.2">
      <c r="A156" s="22" t="s">
        <v>32</v>
      </c>
      <c r="B156" s="137">
        <f>'DOE25'!F495</f>
        <v>6000000</v>
      </c>
      <c r="C156" s="137">
        <f>'DOE25'!G495</f>
        <v>1475000</v>
      </c>
      <c r="D156" s="137">
        <f>'DOE25'!H495</f>
        <v>3825000</v>
      </c>
      <c r="E156" s="137">
        <f>'DOE25'!I495</f>
        <v>2955000</v>
      </c>
      <c r="F156" s="137">
        <f>'DOE25'!J495</f>
        <v>0</v>
      </c>
      <c r="G156" s="138">
        <f>SUM(B156:F156)</f>
        <v>14255000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 t="str">
        <f>'DOE25'!I496</f>
        <v>Inc unrefunded bond</v>
      </c>
      <c r="F157" s="137">
        <f>'DOE25'!J496</f>
        <v>3895000</v>
      </c>
      <c r="G157" s="138">
        <f t="shared" ref="G157:G164" si="0">SUM(B157:F157)</f>
        <v>3895000</v>
      </c>
    </row>
    <row r="158" spans="1:9" x14ac:dyDescent="0.2">
      <c r="A158" s="22" t="s">
        <v>34</v>
      </c>
      <c r="B158" s="137">
        <f>'DOE25'!F497</f>
        <v>670000</v>
      </c>
      <c r="C158" s="137">
        <f>'DOE25'!G497</f>
        <v>500000</v>
      </c>
      <c r="D158" s="137">
        <f>'DOE25'!H497</f>
        <v>255000</v>
      </c>
      <c r="E158" s="137">
        <f>'DOE25'!I497</f>
        <v>325000</v>
      </c>
      <c r="F158" s="137">
        <f>'DOE25'!J497</f>
        <v>0</v>
      </c>
      <c r="G158" s="138">
        <f t="shared" si="0"/>
        <v>1750000</v>
      </c>
    </row>
    <row r="159" spans="1:9" x14ac:dyDescent="0.2">
      <c r="A159" s="22" t="s">
        <v>35</v>
      </c>
      <c r="B159" s="137">
        <f>'DOE25'!F498</f>
        <v>5330000</v>
      </c>
      <c r="C159" s="137">
        <f>'DOE25'!G498</f>
        <v>975000</v>
      </c>
      <c r="D159" s="137">
        <f>'DOE25'!H498</f>
        <v>3570000</v>
      </c>
      <c r="E159" s="137">
        <f>'DOE25'!I498</f>
        <v>3180000</v>
      </c>
      <c r="F159" s="137">
        <f>'DOE25'!J498</f>
        <v>3895000</v>
      </c>
      <c r="G159" s="138">
        <f t="shared" si="0"/>
        <v>16950000</v>
      </c>
    </row>
    <row r="160" spans="1:9" x14ac:dyDescent="0.2">
      <c r="A160" s="22" t="s">
        <v>36</v>
      </c>
      <c r="B160" s="137">
        <f>'DOE25'!F499</f>
        <v>1040517.5</v>
      </c>
      <c r="C160" s="137">
        <f>'DOE25'!G499</f>
        <v>38900</v>
      </c>
      <c r="D160" s="137">
        <f>'DOE25'!H499</f>
        <v>1027171.89</v>
      </c>
      <c r="E160" s="137">
        <f>'DOE25'!I499</f>
        <v>378315.71</v>
      </c>
      <c r="F160" s="137">
        <f>'DOE25'!J499</f>
        <v>583575</v>
      </c>
      <c r="G160" s="138">
        <f t="shared" si="0"/>
        <v>3068480.1</v>
      </c>
    </row>
    <row r="161" spans="1:7" x14ac:dyDescent="0.2">
      <c r="A161" s="22" t="s">
        <v>37</v>
      </c>
      <c r="B161" s="137">
        <f>'DOE25'!F500</f>
        <v>6370517.5</v>
      </c>
      <c r="C161" s="137">
        <f>'DOE25'!G500</f>
        <v>1013900</v>
      </c>
      <c r="D161" s="137">
        <f>'DOE25'!H500</f>
        <v>4597171.8899999997</v>
      </c>
      <c r="E161" s="137">
        <f>'DOE25'!I500</f>
        <v>3558315.71</v>
      </c>
      <c r="F161" s="137">
        <f>'DOE25'!J500</f>
        <v>4478575</v>
      </c>
      <c r="G161" s="138">
        <f t="shared" si="0"/>
        <v>20018480.100000001</v>
      </c>
    </row>
    <row r="162" spans="1:7" x14ac:dyDescent="0.2">
      <c r="A162" s="22" t="s">
        <v>38</v>
      </c>
      <c r="B162" s="137">
        <f>'DOE25'!F501</f>
        <v>670000</v>
      </c>
      <c r="C162" s="137">
        <f>'DOE25'!G501</f>
        <v>490000</v>
      </c>
      <c r="D162" s="137">
        <f>'DOE25'!H501</f>
        <v>255000</v>
      </c>
      <c r="E162" s="137">
        <f>'DOE25'!I501</f>
        <v>310000</v>
      </c>
      <c r="F162" s="137">
        <f>'DOE25'!J501</f>
        <v>390000</v>
      </c>
      <c r="G162" s="138">
        <f t="shared" si="0"/>
        <v>2115000</v>
      </c>
    </row>
    <row r="163" spans="1:7" x14ac:dyDescent="0.2">
      <c r="A163" s="22" t="s">
        <v>39</v>
      </c>
      <c r="B163" s="137">
        <f>'DOE25'!F502</f>
        <v>240075</v>
      </c>
      <c r="C163" s="137">
        <f>'DOE25'!G502</f>
        <v>29200</v>
      </c>
      <c r="D163" s="137">
        <f>'DOE25'!H502</f>
        <v>141206.26</v>
      </c>
      <c r="E163" s="137">
        <f>'DOE25'!I502</f>
        <v>66825.009999999995</v>
      </c>
      <c r="F163" s="137">
        <f>'DOE25'!J502</f>
        <v>111000</v>
      </c>
      <c r="G163" s="138">
        <f t="shared" si="0"/>
        <v>588306.27</v>
      </c>
    </row>
    <row r="164" spans="1:7" x14ac:dyDescent="0.2">
      <c r="A164" s="22" t="s">
        <v>246</v>
      </c>
      <c r="B164" s="137">
        <f>'DOE25'!F503</f>
        <v>910075</v>
      </c>
      <c r="C164" s="137">
        <f>'DOE25'!G503</f>
        <v>519200</v>
      </c>
      <c r="D164" s="137">
        <f>'DOE25'!H503</f>
        <v>396206.26</v>
      </c>
      <c r="E164" s="137">
        <f>'DOE25'!I503</f>
        <v>376825.01</v>
      </c>
      <c r="F164" s="137">
        <f>'DOE25'!J503</f>
        <v>501000</v>
      </c>
      <c r="G164" s="138">
        <f t="shared" si="0"/>
        <v>2703306.27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3" workbookViewId="0">
      <selection activeCell="C42" sqref="C4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Londonderry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15338</v>
      </c>
    </row>
    <row r="5" spans="1:4" x14ac:dyDescent="0.2">
      <c r="B5" t="s">
        <v>704</v>
      </c>
      <c r="C5" s="179">
        <f>IF('DOE25'!G665+'DOE25'!G670=0,0,ROUND('DOE25'!G672,0))</f>
        <v>12783</v>
      </c>
    </row>
    <row r="6" spans="1:4" x14ac:dyDescent="0.2">
      <c r="B6" t="s">
        <v>62</v>
      </c>
      <c r="C6" s="179">
        <f>IF('DOE25'!H665+'DOE25'!H670=0,0,ROUND('DOE25'!H672,0))</f>
        <v>13480</v>
      </c>
    </row>
    <row r="7" spans="1:4" x14ac:dyDescent="0.2">
      <c r="B7" t="s">
        <v>705</v>
      </c>
      <c r="C7" s="179">
        <f>IF('DOE25'!I665+'DOE25'!I670=0,0,ROUND('DOE25'!I672,0))</f>
        <v>14021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26107484</v>
      </c>
      <c r="D10" s="182">
        <f>ROUND((C10/$C$28)*100,1)</f>
        <v>40.1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12890823</v>
      </c>
      <c r="D11" s="182">
        <f>ROUND((C11/$C$28)*100,1)</f>
        <v>19.8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101862</v>
      </c>
      <c r="D12" s="182">
        <f>ROUND((C12/$C$28)*100,1)</f>
        <v>0.2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1502945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5508583</v>
      </c>
      <c r="D15" s="182">
        <f t="shared" ref="D15:D27" si="0">ROUND((C15/$C$28)*100,1)</f>
        <v>8.5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1978918</v>
      </c>
      <c r="D16" s="182">
        <f t="shared" si="0"/>
        <v>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2476232</v>
      </c>
      <c r="D17" s="182">
        <f t="shared" si="0"/>
        <v>3.8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2967093</v>
      </c>
      <c r="D18" s="182">
        <f t="shared" si="0"/>
        <v>4.5999999999999996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778381</v>
      </c>
      <c r="D19" s="182">
        <f t="shared" si="0"/>
        <v>1.2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6101518</v>
      </c>
      <c r="D20" s="182">
        <f t="shared" si="0"/>
        <v>9.4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3222463</v>
      </c>
      <c r="D21" s="182">
        <f t="shared" si="0"/>
        <v>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122166</v>
      </c>
      <c r="D24" s="182">
        <f t="shared" si="0"/>
        <v>0.2</v>
      </c>
    </row>
    <row r="25" spans="1:4" x14ac:dyDescent="0.2">
      <c r="A25">
        <v>5120</v>
      </c>
      <c r="B25" t="s">
        <v>720</v>
      </c>
      <c r="C25" s="179">
        <f>ROUND('DOE25'!L261+'DOE25'!L342,0)</f>
        <v>946216</v>
      </c>
      <c r="D25" s="182">
        <f t="shared" si="0"/>
        <v>1.5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375558.74999999988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65080242.75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1775331</v>
      </c>
    </row>
    <row r="30" spans="1:4" x14ac:dyDescent="0.2">
      <c r="B30" s="187" t="s">
        <v>729</v>
      </c>
      <c r="C30" s="180">
        <f>SUM(C28:C29)</f>
        <v>66855573.75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1750000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45588816</v>
      </c>
      <c r="D35" s="182">
        <f t="shared" ref="D35:D40" si="1">ROUND((C35/$C$41)*100,1)</f>
        <v>66.7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1081563.75</v>
      </c>
      <c r="D36" s="182">
        <f t="shared" si="1"/>
        <v>1.6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18453220</v>
      </c>
      <c r="D37" s="182">
        <f t="shared" si="1"/>
        <v>27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1038683</v>
      </c>
      <c r="D38" s="182">
        <f t="shared" si="1"/>
        <v>1.5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2224025</v>
      </c>
      <c r="D39" s="182">
        <f t="shared" si="1"/>
        <v>3.3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68386307.75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3895000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Londonderry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2015-09-09T13:54:44Z</cp:lastPrinted>
  <dcterms:created xsi:type="dcterms:W3CDTF">1997-12-04T19:04:30Z</dcterms:created>
  <dcterms:modified xsi:type="dcterms:W3CDTF">2015-11-25T18:43:58Z</dcterms:modified>
</cp:coreProperties>
</file>