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G158" i="1" l="1"/>
  <c r="G543" i="1"/>
  <c r="D9" i="13" l="1"/>
  <c r="F50" i="1"/>
  <c r="F29" i="1" l="1"/>
  <c r="F24" i="1"/>
  <c r="F12" i="1"/>
  <c r="H13" i="1"/>
  <c r="H24" i="1"/>
  <c r="H12" i="1"/>
  <c r="H30" i="1"/>
  <c r="F49" i="1"/>
  <c r="F472" i="1"/>
  <c r="H468" i="1"/>
  <c r="H155" i="1"/>
  <c r="H604" i="1"/>
  <c r="G468" i="1"/>
  <c r="I358" i="1"/>
  <c r="G23" i="1"/>
  <c r="G161" i="1"/>
  <c r="G24" i="1"/>
  <c r="G29" i="1"/>
  <c r="G13" i="1"/>
  <c r="F14" i="1"/>
  <c r="F9" i="1"/>
  <c r="C11" i="12"/>
  <c r="H591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G15" i="13"/>
  <c r="L226" i="1"/>
  <c r="L229" i="1" s="1"/>
  <c r="L244" i="1"/>
  <c r="L2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E109" i="2" s="1"/>
  <c r="L277" i="1"/>
  <c r="C11" i="10" s="1"/>
  <c r="L278" i="1"/>
  <c r="L279" i="1"/>
  <c r="E112" i="2" s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2" i="2"/>
  <c r="C113" i="2"/>
  <c r="E113" i="2"/>
  <c r="C114" i="2"/>
  <c r="E114" i="2"/>
  <c r="D115" i="2"/>
  <c r="F115" i="2"/>
  <c r="G115" i="2"/>
  <c r="E118" i="2"/>
  <c r="C119" i="2"/>
  <c r="E119" i="2"/>
  <c r="C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H470" i="1"/>
  <c r="H476" i="1" s="1"/>
  <c r="H624" i="1" s="1"/>
  <c r="J624" i="1" s="1"/>
  <c r="I470" i="1"/>
  <c r="J470" i="1"/>
  <c r="J476" i="1" s="1"/>
  <c r="H626" i="1" s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1" i="1"/>
  <c r="H641" i="1"/>
  <c r="G643" i="1"/>
  <c r="H643" i="1"/>
  <c r="G644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C70" i="2"/>
  <c r="D18" i="13"/>
  <c r="C18" i="13" s="1"/>
  <c r="D7" i="13"/>
  <c r="C7" i="13" s="1"/>
  <c r="D18" i="2"/>
  <c r="D17" i="13"/>
  <c r="C17" i="13" s="1"/>
  <c r="F78" i="2"/>
  <c r="F81" i="2" s="1"/>
  <c r="C78" i="2"/>
  <c r="D50" i="2"/>
  <c r="G157" i="2"/>
  <c r="F18" i="2"/>
  <c r="G161" i="2"/>
  <c r="G156" i="2"/>
  <c r="E103" i="2"/>
  <c r="E62" i="2"/>
  <c r="E63" i="2" s="1"/>
  <c r="G62" i="2"/>
  <c r="D19" i="13"/>
  <c r="C19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I169" i="1"/>
  <c r="J643" i="1"/>
  <c r="I476" i="1"/>
  <c r="H625" i="1" s="1"/>
  <c r="J625" i="1" s="1"/>
  <c r="G338" i="1"/>
  <c r="G352" i="1" s="1"/>
  <c r="F169" i="1"/>
  <c r="J140" i="1"/>
  <c r="F571" i="1"/>
  <c r="I552" i="1"/>
  <c r="G22" i="2"/>
  <c r="K545" i="1"/>
  <c r="C29" i="10"/>
  <c r="H140" i="1"/>
  <c r="L401" i="1"/>
  <c r="C139" i="2" s="1"/>
  <c r="F22" i="13"/>
  <c r="H25" i="13"/>
  <c r="C25" i="13" s="1"/>
  <c r="H571" i="1"/>
  <c r="L560" i="1"/>
  <c r="J545" i="1"/>
  <c r="F338" i="1"/>
  <c r="F352" i="1" s="1"/>
  <c r="G192" i="1"/>
  <c r="H192" i="1"/>
  <c r="C35" i="10"/>
  <c r="L309" i="1"/>
  <c r="E16" i="13"/>
  <c r="L570" i="1"/>
  <c r="I571" i="1"/>
  <c r="J636" i="1"/>
  <c r="G36" i="2"/>
  <c r="L565" i="1"/>
  <c r="C22" i="13"/>
  <c r="C16" i="13"/>
  <c r="H33" i="13"/>
  <c r="G545" i="1" l="1"/>
  <c r="L529" i="1"/>
  <c r="K549" i="1"/>
  <c r="L534" i="1"/>
  <c r="K551" i="1"/>
  <c r="J552" i="1"/>
  <c r="K550" i="1"/>
  <c r="H545" i="1"/>
  <c r="L544" i="1"/>
  <c r="L524" i="1"/>
  <c r="F552" i="1"/>
  <c r="H52" i="1"/>
  <c r="H619" i="1" s="1"/>
  <c r="E31" i="2"/>
  <c r="H408" i="1"/>
  <c r="H644" i="1" s="1"/>
  <c r="J644" i="1" s="1"/>
  <c r="C81" i="2"/>
  <c r="J622" i="1"/>
  <c r="J640" i="1"/>
  <c r="J655" i="1"/>
  <c r="G645" i="1"/>
  <c r="J645" i="1" s="1"/>
  <c r="G476" i="1"/>
  <c r="H623" i="1" s="1"/>
  <c r="J623" i="1" s="1"/>
  <c r="K598" i="1"/>
  <c r="G647" i="1" s="1"/>
  <c r="J634" i="1"/>
  <c r="H661" i="1"/>
  <c r="D29" i="13"/>
  <c r="C29" i="13" s="1"/>
  <c r="D127" i="2"/>
  <c r="D128" i="2" s="1"/>
  <c r="D145" i="2" s="1"/>
  <c r="G661" i="1"/>
  <c r="L362" i="1"/>
  <c r="C27" i="10" s="1"/>
  <c r="E128" i="2"/>
  <c r="C17" i="10"/>
  <c r="C16" i="10"/>
  <c r="K338" i="1"/>
  <c r="K352" i="1" s="1"/>
  <c r="C13" i="10"/>
  <c r="E110" i="2"/>
  <c r="E115" i="2" s="1"/>
  <c r="J338" i="1"/>
  <c r="J352" i="1" s="1"/>
  <c r="L290" i="1"/>
  <c r="L338" i="1" s="1"/>
  <c r="L352" i="1" s="1"/>
  <c r="G633" i="1" s="1"/>
  <c r="J633" i="1" s="1"/>
  <c r="I257" i="1"/>
  <c r="I271" i="1" s="1"/>
  <c r="G651" i="1"/>
  <c r="J651" i="1" s="1"/>
  <c r="H662" i="1"/>
  <c r="G650" i="1"/>
  <c r="J650" i="1" s="1"/>
  <c r="G662" i="1"/>
  <c r="G257" i="1"/>
  <c r="G271" i="1" s="1"/>
  <c r="F257" i="1"/>
  <c r="F271" i="1" s="1"/>
  <c r="H660" i="1"/>
  <c r="C110" i="2"/>
  <c r="H257" i="1"/>
  <c r="H271" i="1" s="1"/>
  <c r="C10" i="10"/>
  <c r="K271" i="1"/>
  <c r="D14" i="13"/>
  <c r="C14" i="13" s="1"/>
  <c r="D12" i="13"/>
  <c r="C12" i="13" s="1"/>
  <c r="C121" i="2"/>
  <c r="E8" i="13"/>
  <c r="C8" i="13" s="1"/>
  <c r="D6" i="13"/>
  <c r="C6" i="13" s="1"/>
  <c r="C15" i="10"/>
  <c r="D5" i="13"/>
  <c r="C5" i="13" s="1"/>
  <c r="C109" i="2"/>
  <c r="C115" i="2" s="1"/>
  <c r="C62" i="2"/>
  <c r="C63" i="2"/>
  <c r="C104" i="2" s="1"/>
  <c r="D31" i="2"/>
  <c r="D51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K552" i="1" l="1"/>
  <c r="L545" i="1"/>
  <c r="E51" i="2"/>
  <c r="G104" i="2"/>
  <c r="I661" i="1"/>
  <c r="G635" i="1"/>
  <c r="J635" i="1" s="1"/>
  <c r="E145" i="2"/>
  <c r="D31" i="13"/>
  <c r="C31" i="13" s="1"/>
  <c r="H664" i="1"/>
  <c r="G664" i="1"/>
  <c r="G672" i="1" s="1"/>
  <c r="C5" i="10" s="1"/>
  <c r="E33" i="13"/>
  <c r="D35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H667" i="1"/>
  <c r="G667" i="1"/>
  <c r="C41" i="10"/>
  <c r="D38" i="10" s="1"/>
  <c r="D37" i="10" l="1"/>
  <c r="D36" i="10"/>
  <c r="D35" i="10"/>
  <c r="D40" i="10"/>
  <c r="D39" i="10"/>
  <c r="D41" i="10" l="1"/>
  <c r="F15" i="13" l="1"/>
  <c r="F33" i="13"/>
  <c r="L208" i="1"/>
  <c r="H647" i="1" s="1"/>
  <c r="J647" i="1" s="1"/>
  <c r="J211" i="1"/>
  <c r="J257" i="1"/>
  <c r="H648" i="1" s="1"/>
  <c r="J648" i="1" s="1"/>
  <c r="J271" i="1" l="1"/>
  <c r="G649" i="1"/>
  <c r="J649" i="1" s="1"/>
  <c r="L211" i="1"/>
  <c r="C21" i="10"/>
  <c r="C28" i="10" s="1"/>
  <c r="D23" i="10" s="1"/>
  <c r="D15" i="13"/>
  <c r="C124" i="2"/>
  <c r="C128" i="2" s="1"/>
  <c r="C145" i="2" s="1"/>
  <c r="F662" i="1"/>
  <c r="D27" i="10" l="1"/>
  <c r="D15" i="10"/>
  <c r="D18" i="10"/>
  <c r="D21" i="10"/>
  <c r="D12" i="10"/>
  <c r="D22" i="10"/>
  <c r="D24" i="10"/>
  <c r="D13" i="10"/>
  <c r="D17" i="10"/>
  <c r="C30" i="10"/>
  <c r="D20" i="10"/>
  <c r="D10" i="10"/>
  <c r="D11" i="10"/>
  <c r="D25" i="10"/>
  <c r="L257" i="1"/>
  <c r="L271" i="1" s="1"/>
  <c r="G632" i="1" s="1"/>
  <c r="F660" i="1"/>
  <c r="I660" i="1" s="1"/>
  <c r="D16" i="10"/>
  <c r="D26" i="10"/>
  <c r="D19" i="10"/>
  <c r="C15" i="13"/>
  <c r="D33" i="13"/>
  <c r="D36" i="13" s="1"/>
  <c r="I662" i="1"/>
  <c r="F664" i="1" l="1"/>
  <c r="F672" i="1" s="1"/>
  <c r="C4" i="10" s="1"/>
  <c r="D28" i="10"/>
  <c r="I664" i="1"/>
  <c r="I667" i="1" s="1"/>
  <c r="H656" i="1"/>
  <c r="J632" i="1"/>
  <c r="F667" i="1" l="1"/>
  <c r="I672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<sst xmlns="http://schemas.openxmlformats.org/spreadsheetml/2006/main" count="3954" uniqueCount="912">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</sst>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333</v>
      </c>
      <c r="C2" s="21">
        <v>333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75737.99+273637.15</f>
        <v>349375.14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74018.25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58501.86-58095.67</f>
        <v>406.19000000000233</v>
      </c>
      <c r="G12" s="18"/>
      <c r="H12" s="18">
        <f>75239.29-49871.45</f>
        <v>25367.839999999997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54.42</v>
      </c>
      <c r="G13" s="18">
        <f>1231.64+16824.85</f>
        <v>18056.489999999998</v>
      </c>
      <c r="H13" s="18">
        <f>5880+3759.74-0.76</f>
        <v>9638.98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15698.55-2633.2</f>
        <v>13065.349999999999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362901.1</v>
      </c>
      <c r="G19" s="41">
        <f>SUM(G9:G18)</f>
        <v>18056.489999999998</v>
      </c>
      <c r="H19" s="41">
        <f>SUM(H9:H18)</f>
        <v>35006.819999999992</v>
      </c>
      <c r="I19" s="41">
        <f>SUM(I9:I18)</f>
        <v>0</v>
      </c>
      <c r="J19" s="41">
        <f>SUM(J9:J18)</f>
        <v>74018.25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9000</v>
      </c>
      <c r="G23" s="18">
        <f>8224.22+12011.84+4725.59-9805.9</f>
        <v>15155.749999999998</v>
      </c>
      <c r="H23" s="18">
        <v>313.55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24997.73-12717.54</f>
        <v>12280.189999999999</v>
      </c>
      <c r="G24" s="18">
        <f>87.42-13.95</f>
        <v>73.47</v>
      </c>
      <c r="H24" s="18">
        <f>11254.23-11230.77</f>
        <v>23.459999999999127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17611.5+637.13+1160.78-83.6-315.05</f>
        <v>19010.760000000002</v>
      </c>
      <c r="G29" s="18">
        <f>1860.6+966.67</f>
        <v>2827.27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1160.78</v>
      </c>
      <c r="G30" s="18"/>
      <c r="H30" s="18">
        <f>194.14+25132.03+95910.06-86566.42</f>
        <v>34669.81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41451.729999999996</v>
      </c>
      <c r="G32" s="41">
        <f>SUM(G22:G31)</f>
        <v>18056.489999999998</v>
      </c>
      <c r="H32" s="41">
        <f>SUM(H22:H31)</f>
        <v>35006.82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126358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74018.25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83559.09</f>
        <v>83559.09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135348.69+23759.16-9805.9-142.02-36130.65-1497</f>
        <v>111532.28000000003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321449.37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74018.25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362901.1</v>
      </c>
      <c r="G52" s="41">
        <f>G51+G32</f>
        <v>18056.489999999998</v>
      </c>
      <c r="H52" s="41">
        <f>H51+H32</f>
        <v>35006.82</v>
      </c>
      <c r="I52" s="41">
        <f>I51+I32</f>
        <v>0</v>
      </c>
      <c r="J52" s="41">
        <f>J51+J32</f>
        <v>74018.25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3931784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3931784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3482.14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3482.14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104.18</v>
      </c>
      <c r="G96" s="18"/>
      <c r="H96" s="18"/>
      <c r="I96" s="18"/>
      <c r="J96" s="18">
        <v>18.25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28393.29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31332.05</v>
      </c>
      <c r="G110" s="18">
        <v>32325.89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31436.23</v>
      </c>
      <c r="G111" s="41">
        <f>SUM(G96:G110)</f>
        <v>60719.18</v>
      </c>
      <c r="H111" s="41">
        <f>SUM(H96:H110)</f>
        <v>0</v>
      </c>
      <c r="I111" s="41">
        <f>SUM(I96:I110)</f>
        <v>0</v>
      </c>
      <c r="J111" s="41">
        <f>SUM(J96:J110)</f>
        <v>18.25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3966702.37</v>
      </c>
      <c r="G112" s="41">
        <f>G60+G111</f>
        <v>60719.18</v>
      </c>
      <c r="H112" s="41">
        <f>H60+H79+H94+H111</f>
        <v>0</v>
      </c>
      <c r="I112" s="41">
        <f>I60+I111</f>
        <v>0</v>
      </c>
      <c r="J112" s="41">
        <f>J60+J111</f>
        <v>18.25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559688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1122555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1682243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51478.12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84.81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51478.12</v>
      </c>
      <c r="G136" s="41">
        <f>SUM(G123:G135)</f>
        <v>84.81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1733721.12</v>
      </c>
      <c r="G140" s="41">
        <f>G121+SUM(G136:G137)</f>
        <v>84.81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39671.480000000003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56238.58-9343.64</f>
        <v>46894.94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42622.91-84.81</f>
        <v>42538.100000000006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69409.31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f>7054.03+108.21</f>
        <v>7162.24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69409.31</v>
      </c>
      <c r="G162" s="41">
        <f>SUM(G150:G161)</f>
        <v>49700.340000000004</v>
      </c>
      <c r="H162" s="41">
        <f>SUM(H150:H161)</f>
        <v>86566.420000000013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69409.31</v>
      </c>
      <c r="G169" s="41">
        <f>G147+G162+SUM(G163:G168)</f>
        <v>49700.340000000004</v>
      </c>
      <c r="H169" s="41">
        <f>H147+H162+SUM(H163:H168)</f>
        <v>86566.420000000013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9805.9</v>
      </c>
      <c r="H179" s="18"/>
      <c r="I179" s="18"/>
      <c r="J179" s="18">
        <v>74000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9805.9</v>
      </c>
      <c r="H183" s="41">
        <f>SUM(H179:H182)</f>
        <v>0</v>
      </c>
      <c r="I183" s="41">
        <f>SUM(I179:I182)</f>
        <v>0</v>
      </c>
      <c r="J183" s="41">
        <f>SUM(J179:J182)</f>
        <v>74000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9805.9</v>
      </c>
      <c r="H192" s="41">
        <f>+H183+SUM(H188:H191)</f>
        <v>0</v>
      </c>
      <c r="I192" s="41">
        <f>I177+I183+SUM(I188:I191)</f>
        <v>0</v>
      </c>
      <c r="J192" s="41">
        <f>J183</f>
        <v>74000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5769832.7999999998</v>
      </c>
      <c r="G193" s="47">
        <f>G112+G140+G169+G192</f>
        <v>120310.23</v>
      </c>
      <c r="H193" s="47">
        <f>H112+H140+H169+H192</f>
        <v>86566.420000000013</v>
      </c>
      <c r="I193" s="47">
        <f>I112+I140+I169+I192</f>
        <v>0</v>
      </c>
      <c r="J193" s="47">
        <f>J112+J140+J192</f>
        <v>74018.25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750900.75999999989</v>
      </c>
      <c r="G197" s="18">
        <v>280021.09000000003</v>
      </c>
      <c r="H197" s="18">
        <v>26183.740000000224</v>
      </c>
      <c r="I197" s="18">
        <v>21730.929999999997</v>
      </c>
      <c r="J197" s="18">
        <v>22928.959999999999</v>
      </c>
      <c r="K197" s="18">
        <v>80</v>
      </c>
      <c r="L197" s="19">
        <f>SUM(F197:K197)</f>
        <v>1101845.48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222985.53</v>
      </c>
      <c r="G198" s="18">
        <v>89272.77</v>
      </c>
      <c r="H198" s="18">
        <v>188661.78999999998</v>
      </c>
      <c r="I198" s="18">
        <v>238.84</v>
      </c>
      <c r="J198" s="18"/>
      <c r="K198" s="18"/>
      <c r="L198" s="19">
        <f>SUM(F198:K198)</f>
        <v>501158.93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43981.85</v>
      </c>
      <c r="G200" s="18">
        <v>4259.1100000000006</v>
      </c>
      <c r="H200" s="18">
        <v>400</v>
      </c>
      <c r="I200" s="18">
        <v>955.77</v>
      </c>
      <c r="J200" s="18"/>
      <c r="K200" s="18"/>
      <c r="L200" s="19">
        <f>SUM(F200:K200)</f>
        <v>49596.729999999996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139819.86000000002</v>
      </c>
      <c r="G202" s="18">
        <v>59628.390000000014</v>
      </c>
      <c r="H202" s="18">
        <v>50479.34</v>
      </c>
      <c r="I202" s="18">
        <v>593.06999999999994</v>
      </c>
      <c r="J202" s="18"/>
      <c r="K202" s="18">
        <v>308</v>
      </c>
      <c r="L202" s="19">
        <f t="shared" ref="L202:L208" si="0">SUM(F202:K202)</f>
        <v>250828.66000000003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52368.87</v>
      </c>
      <c r="G203" s="18">
        <v>42303.279999999992</v>
      </c>
      <c r="H203" s="18">
        <v>5707.29</v>
      </c>
      <c r="I203" s="18">
        <v>4502.6900000000005</v>
      </c>
      <c r="J203" s="18"/>
      <c r="K203" s="18"/>
      <c r="L203" s="19">
        <f t="shared" si="0"/>
        <v>104882.12999999999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6450</v>
      </c>
      <c r="G204" s="18">
        <v>493.42999999999995</v>
      </c>
      <c r="H204" s="18">
        <v>220351.53</v>
      </c>
      <c r="I204" s="18">
        <v>64.12</v>
      </c>
      <c r="J204" s="18"/>
      <c r="K204" s="18">
        <v>3071.19</v>
      </c>
      <c r="L204" s="19">
        <f t="shared" si="0"/>
        <v>230430.27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106877.06</v>
      </c>
      <c r="G205" s="18">
        <v>60009.960000000014</v>
      </c>
      <c r="H205" s="18">
        <v>6924.4900000000007</v>
      </c>
      <c r="I205" s="18">
        <v>3650.99</v>
      </c>
      <c r="J205" s="18">
        <v>10</v>
      </c>
      <c r="K205" s="18">
        <v>168</v>
      </c>
      <c r="L205" s="19">
        <f t="shared" si="0"/>
        <v>177640.5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69821.820000000007</v>
      </c>
      <c r="G207" s="18">
        <v>39715.129999999997</v>
      </c>
      <c r="H207" s="18">
        <v>106055.70999999999</v>
      </c>
      <c r="I207" s="18">
        <v>84413.19</v>
      </c>
      <c r="J207" s="18">
        <v>1949.49</v>
      </c>
      <c r="K207" s="18"/>
      <c r="L207" s="19">
        <f t="shared" si="0"/>
        <v>301955.33999999997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37991.645066666671</v>
      </c>
      <c r="G208" s="18">
        <v>10246.701266666665</v>
      </c>
      <c r="H208" s="18">
        <v>47936.737800000003</v>
      </c>
      <c r="I208" s="18">
        <v>12694.925366666668</v>
      </c>
      <c r="J208" s="18">
        <v>8689.2003333333341</v>
      </c>
      <c r="K208" s="18"/>
      <c r="L208" s="19">
        <f t="shared" si="0"/>
        <v>117559.20983333333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1431197.3950666669</v>
      </c>
      <c r="G211" s="41">
        <f t="shared" si="1"/>
        <v>585949.86126666667</v>
      </c>
      <c r="H211" s="41">
        <f t="shared" si="1"/>
        <v>652700.62780000013</v>
      </c>
      <c r="I211" s="41">
        <f t="shared" si="1"/>
        <v>128844.52536666667</v>
      </c>
      <c r="J211" s="41">
        <f t="shared" si="1"/>
        <v>33577.650333333338</v>
      </c>
      <c r="K211" s="41">
        <f t="shared" si="1"/>
        <v>3627.19</v>
      </c>
      <c r="L211" s="41">
        <f t="shared" si="1"/>
        <v>2835897.2498333328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718200</v>
      </c>
      <c r="I215" s="18"/>
      <c r="J215" s="18"/>
      <c r="K215" s="18"/>
      <c r="L215" s="19">
        <f>SUM(F215:K215)</f>
        <v>718200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103866.32</v>
      </c>
      <c r="I216" s="18"/>
      <c r="J216" s="18"/>
      <c r="K216" s="18"/>
      <c r="L216" s="19">
        <f>SUM(F216:K216)</f>
        <v>103866.32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12283.013066666668</v>
      </c>
      <c r="G226" s="18">
        <v>3312.8432666666663</v>
      </c>
      <c r="H226" s="18">
        <v>15498.343800000001</v>
      </c>
      <c r="I226" s="18">
        <v>4104.3743666666669</v>
      </c>
      <c r="J226" s="18">
        <v>2809.2903333333334</v>
      </c>
      <c r="K226" s="18"/>
      <c r="L226" s="19">
        <f t="shared" si="2"/>
        <v>38007.864833333333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12283.013066666668</v>
      </c>
      <c r="G229" s="41">
        <f>SUM(G215:G228)</f>
        <v>3312.8432666666663</v>
      </c>
      <c r="H229" s="41">
        <f>SUM(H215:H228)</f>
        <v>837564.6638000001</v>
      </c>
      <c r="I229" s="41">
        <f>SUM(I215:I228)</f>
        <v>4104.3743666666669</v>
      </c>
      <c r="J229" s="41">
        <f>SUM(J215:J228)</f>
        <v>2809.2903333333334</v>
      </c>
      <c r="K229" s="41">
        <f t="shared" si="3"/>
        <v>0</v>
      </c>
      <c r="L229" s="41">
        <f t="shared" si="3"/>
        <v>860074.18483333336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1602290</v>
      </c>
      <c r="I233" s="18"/>
      <c r="J233" s="18"/>
      <c r="K233" s="18"/>
      <c r="L233" s="19">
        <f>SUM(F233:K233)</f>
        <v>1602290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115900.51</v>
      </c>
      <c r="I234" s="18"/>
      <c r="J234" s="18"/>
      <c r="K234" s="18"/>
      <c r="L234" s="19">
        <f>SUM(F234:K234)</f>
        <v>115900.51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35420.781866666664</v>
      </c>
      <c r="G244" s="18">
        <v>9553.3154666666651</v>
      </c>
      <c r="H244" s="18">
        <v>44692.898399999998</v>
      </c>
      <c r="I244" s="18">
        <v>11835.870266666667</v>
      </c>
      <c r="J244" s="18">
        <v>8101.2093333333332</v>
      </c>
      <c r="K244" s="18"/>
      <c r="L244" s="19">
        <f t="shared" si="4"/>
        <v>109604.07533333333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35420.781866666664</v>
      </c>
      <c r="G247" s="41">
        <f t="shared" si="5"/>
        <v>9553.3154666666651</v>
      </c>
      <c r="H247" s="41">
        <f t="shared" si="5"/>
        <v>1762883.4084000001</v>
      </c>
      <c r="I247" s="41">
        <f t="shared" si="5"/>
        <v>11835.870266666667</v>
      </c>
      <c r="J247" s="41">
        <f t="shared" si="5"/>
        <v>8101.2093333333332</v>
      </c>
      <c r="K247" s="41">
        <f t="shared" si="5"/>
        <v>0</v>
      </c>
      <c r="L247" s="41">
        <f t="shared" si="5"/>
        <v>1827794.5853333334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1478901.1900000002</v>
      </c>
      <c r="G257" s="41">
        <f t="shared" si="8"/>
        <v>598816.02</v>
      </c>
      <c r="H257" s="41">
        <f t="shared" si="8"/>
        <v>3253148.7</v>
      </c>
      <c r="I257" s="41">
        <f t="shared" si="8"/>
        <v>144784.76999999999</v>
      </c>
      <c r="J257" s="41">
        <f t="shared" si="8"/>
        <v>44488.15</v>
      </c>
      <c r="K257" s="41">
        <f t="shared" si="8"/>
        <v>3627.19</v>
      </c>
      <c r="L257" s="41">
        <f t="shared" si="8"/>
        <v>5523766.0199999996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9805.9</v>
      </c>
      <c r="L263" s="19">
        <f>SUM(F263:K263)</f>
        <v>9805.9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74000</v>
      </c>
      <c r="L266" s="19">
        <f t="shared" si="9"/>
        <v>74000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83805.899999999994</v>
      </c>
      <c r="L270" s="41">
        <f t="shared" si="9"/>
        <v>83805.899999999994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1478901.1900000002</v>
      </c>
      <c r="G271" s="42">
        <f t="shared" si="11"/>
        <v>598816.02</v>
      </c>
      <c r="H271" s="42">
        <f t="shared" si="11"/>
        <v>3253148.7</v>
      </c>
      <c r="I271" s="42">
        <f t="shared" si="11"/>
        <v>144784.76999999999</v>
      </c>
      <c r="J271" s="42">
        <f t="shared" si="11"/>
        <v>44488.15</v>
      </c>
      <c r="K271" s="42">
        <f t="shared" si="11"/>
        <v>87433.09</v>
      </c>
      <c r="L271" s="42">
        <f t="shared" si="11"/>
        <v>5607571.9199999999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27537.39</v>
      </c>
      <c r="G276" s="18">
        <v>2767.2</v>
      </c>
      <c r="H276" s="18">
        <v>1773.54</v>
      </c>
      <c r="I276" s="18">
        <v>3128.88</v>
      </c>
      <c r="J276" s="18">
        <v>17940.739999999998</v>
      </c>
      <c r="K276" s="18"/>
      <c r="L276" s="19">
        <f>SUM(F276:K276)</f>
        <v>53147.75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2422.35</v>
      </c>
      <c r="G277" s="18">
        <v>477.52</v>
      </c>
      <c r="H277" s="18"/>
      <c r="I277" s="18"/>
      <c r="J277" s="18"/>
      <c r="K277" s="18"/>
      <c r="L277" s="19">
        <f>SUM(F277:K277)</f>
        <v>2899.87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4402.5</v>
      </c>
      <c r="G279" s="18">
        <v>796.4</v>
      </c>
      <c r="H279" s="18">
        <v>3255</v>
      </c>
      <c r="I279" s="18">
        <v>4175.6400000000003</v>
      </c>
      <c r="J279" s="18"/>
      <c r="K279" s="18">
        <v>740</v>
      </c>
      <c r="L279" s="19">
        <f>SUM(F279:K279)</f>
        <v>13369.54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5007.12</v>
      </c>
      <c r="G282" s="18">
        <v>956.77</v>
      </c>
      <c r="H282" s="18">
        <v>7822.56</v>
      </c>
      <c r="I282" s="18">
        <v>657.05</v>
      </c>
      <c r="J282" s="18"/>
      <c r="K282" s="18"/>
      <c r="L282" s="19">
        <f t="shared" si="12"/>
        <v>14443.5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892.93999999999994</v>
      </c>
      <c r="L283" s="19">
        <f t="shared" si="12"/>
        <v>892.93999999999994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1428.59</v>
      </c>
      <c r="G287" s="18">
        <v>384.23</v>
      </c>
      <c r="H287" s="18"/>
      <c r="I287" s="18"/>
      <c r="J287" s="18"/>
      <c r="K287" s="18"/>
      <c r="L287" s="19">
        <f t="shared" si="12"/>
        <v>1812.82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40797.949999999997</v>
      </c>
      <c r="G290" s="42">
        <f t="shared" si="13"/>
        <v>5382.119999999999</v>
      </c>
      <c r="H290" s="42">
        <f t="shared" si="13"/>
        <v>12851.1</v>
      </c>
      <c r="I290" s="42">
        <f t="shared" si="13"/>
        <v>7961.5700000000006</v>
      </c>
      <c r="J290" s="42">
        <f t="shared" si="13"/>
        <v>17940.739999999998</v>
      </c>
      <c r="K290" s="42">
        <f t="shared" si="13"/>
        <v>1632.94</v>
      </c>
      <c r="L290" s="41">
        <f t="shared" si="13"/>
        <v>86566.420000000013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40797.949999999997</v>
      </c>
      <c r="G338" s="41">
        <f t="shared" si="20"/>
        <v>5382.119999999999</v>
      </c>
      <c r="H338" s="41">
        <f t="shared" si="20"/>
        <v>12851.1</v>
      </c>
      <c r="I338" s="41">
        <f t="shared" si="20"/>
        <v>7961.5700000000006</v>
      </c>
      <c r="J338" s="41">
        <f t="shared" si="20"/>
        <v>17940.739999999998</v>
      </c>
      <c r="K338" s="41">
        <f t="shared" si="20"/>
        <v>1632.94</v>
      </c>
      <c r="L338" s="41">
        <f t="shared" si="20"/>
        <v>86566.420000000013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40797.949999999997</v>
      </c>
      <c r="G352" s="41">
        <f>G338</f>
        <v>5382.119999999999</v>
      </c>
      <c r="H352" s="41">
        <f>H338</f>
        <v>12851.1</v>
      </c>
      <c r="I352" s="41">
        <f>I338</f>
        <v>7961.5700000000006</v>
      </c>
      <c r="J352" s="41">
        <f>J338</f>
        <v>17940.739999999998</v>
      </c>
      <c r="K352" s="47">
        <f>K338+K351</f>
        <v>1632.94</v>
      </c>
      <c r="L352" s="41">
        <f>L338+L351</f>
        <v>86566.420000000013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59552.43</v>
      </c>
      <c r="G358" s="18">
        <v>16515.46</v>
      </c>
      <c r="H358" s="18">
        <v>1560.51</v>
      </c>
      <c r="I358" s="18">
        <f>45369.56-4297.73</f>
        <v>41071.83</v>
      </c>
      <c r="J358" s="18">
        <v>1610</v>
      </c>
      <c r="K358" s="18"/>
      <c r="L358" s="13">
        <f>SUM(F358:K358)</f>
        <v>120310.23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59552.43</v>
      </c>
      <c r="G362" s="47">
        <f t="shared" si="22"/>
        <v>16515.46</v>
      </c>
      <c r="H362" s="47">
        <f t="shared" si="22"/>
        <v>1560.51</v>
      </c>
      <c r="I362" s="47">
        <f t="shared" si="22"/>
        <v>41071.83</v>
      </c>
      <c r="J362" s="47">
        <f t="shared" si="22"/>
        <v>1610</v>
      </c>
      <c r="K362" s="47">
        <f t="shared" si="22"/>
        <v>0</v>
      </c>
      <c r="L362" s="47">
        <f t="shared" si="22"/>
        <v>120310.23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35707.14</v>
      </c>
      <c r="G367" s="18"/>
      <c r="H367" s="18"/>
      <c r="I367" s="56">
        <f>SUM(F367:H367)</f>
        <v>35707.14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5364.69</v>
      </c>
      <c r="G368" s="63"/>
      <c r="H368" s="63"/>
      <c r="I368" s="56">
        <f>SUM(F368:H368)</f>
        <v>5364.69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41071.83</v>
      </c>
      <c r="G369" s="47">
        <f>SUM(G367:G368)</f>
        <v>0</v>
      </c>
      <c r="H369" s="47">
        <f>SUM(H367:H368)</f>
        <v>0</v>
      </c>
      <c r="I369" s="47">
        <f>SUM(I367:I368)</f>
        <v>41071.83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65000</v>
      </c>
      <c r="H389" s="18">
        <v>4.68</v>
      </c>
      <c r="I389" s="18"/>
      <c r="J389" s="24" t="s">
        <v>289</v>
      </c>
      <c r="K389" s="24" t="s">
        <v>289</v>
      </c>
      <c r="L389" s="56">
        <f t="shared" si="25"/>
        <v>65004.68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9000</v>
      </c>
      <c r="H390" s="18">
        <v>6.48</v>
      </c>
      <c r="I390" s="18"/>
      <c r="J390" s="24" t="s">
        <v>289</v>
      </c>
      <c r="K390" s="24" t="s">
        <v>289</v>
      </c>
      <c r="L390" s="56">
        <f t="shared" si="25"/>
        <v>9006.48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74000</v>
      </c>
      <c r="H393" s="139">
        <f>SUM(H387:H392)</f>
        <v>11.16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74011.16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6.26</v>
      </c>
      <c r="I397" s="18"/>
      <c r="J397" s="24" t="s">
        <v>289</v>
      </c>
      <c r="K397" s="24" t="s">
        <v>289</v>
      </c>
      <c r="L397" s="56">
        <f t="shared" si="26"/>
        <v>6.26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0.83</v>
      </c>
      <c r="I399" s="18"/>
      <c r="J399" s="24" t="s">
        <v>289</v>
      </c>
      <c r="K399" s="24" t="s">
        <v>289</v>
      </c>
      <c r="L399" s="56">
        <f t="shared" si="26"/>
        <v>0.83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7.09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7.09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74000</v>
      </c>
      <c r="H408" s="47">
        <f>H393+H401+H407</f>
        <v>18.25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74018.25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74018.25</v>
      </c>
      <c r="H440" s="18"/>
      <c r="I440" s="56">
        <f t="shared" si="33"/>
        <v>74018.25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74018.25</v>
      </c>
      <c r="H446" s="13">
        <f>SUM(H439:H445)</f>
        <v>0</v>
      </c>
      <c r="I446" s="13">
        <f>SUM(I439:I445)</f>
        <v>74018.25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74018.25</v>
      </c>
      <c r="H459" s="18"/>
      <c r="I459" s="56">
        <f t="shared" si="34"/>
        <v>74018.25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74018.25</v>
      </c>
      <c r="H460" s="83">
        <f>SUM(H454:H459)</f>
        <v>0</v>
      </c>
      <c r="I460" s="83">
        <f>SUM(I454:I459)</f>
        <v>74018.25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74018.25</v>
      </c>
      <c r="H461" s="42">
        <f>H452+H460</f>
        <v>0</v>
      </c>
      <c r="I461" s="42">
        <f>I452+I460</f>
        <v>74018.25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195319.14</v>
      </c>
      <c r="G465" s="18">
        <v>0</v>
      </c>
      <c r="H465" s="18">
        <v>0</v>
      </c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5769832.7999999998</v>
      </c>
      <c r="G468" s="18">
        <f>110231.62+164.5+9805.9+108.21</f>
        <v>120310.23</v>
      </c>
      <c r="H468" s="18">
        <f>95910.06-9343.64</f>
        <v>86566.42</v>
      </c>
      <c r="I468" s="18"/>
      <c r="J468" s="18">
        <v>74018.25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5769832.7999999998</v>
      </c>
      <c r="G470" s="53">
        <f>SUM(G468:G469)</f>
        <v>120310.23</v>
      </c>
      <c r="H470" s="53">
        <f>SUM(H468:H469)</f>
        <v>86566.42</v>
      </c>
      <c r="I470" s="53">
        <f>SUM(I468:I469)</f>
        <v>0</v>
      </c>
      <c r="J470" s="53">
        <f>SUM(J468:J469)</f>
        <v>74018.25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5597766.02000001+9805.9</f>
        <v>5607571.9200000102</v>
      </c>
      <c r="G472" s="18">
        <v>120310.23</v>
      </c>
      <c r="H472" s="18">
        <v>86566.419999999969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36130.65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5643702.5700000105</v>
      </c>
      <c r="G474" s="53">
        <f>SUM(G472:G473)</f>
        <v>120310.23</v>
      </c>
      <c r="H474" s="53">
        <f>SUM(H472:H473)</f>
        <v>86566.419999999969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321449.36999998894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74018.25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222985.53</v>
      </c>
      <c r="G521" s="18">
        <v>89272.77</v>
      </c>
      <c r="H521" s="18">
        <v>188661.78999999998</v>
      </c>
      <c r="I521" s="18">
        <v>238.84</v>
      </c>
      <c r="J521" s="18"/>
      <c r="K521" s="18"/>
      <c r="L521" s="88">
        <f>SUM(F521:K521)</f>
        <v>501158.93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103866.32</v>
      </c>
      <c r="I522" s="18"/>
      <c r="J522" s="18"/>
      <c r="K522" s="18"/>
      <c r="L522" s="88">
        <f>SUM(F522:K522)</f>
        <v>103866.32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115900.51</v>
      </c>
      <c r="I523" s="18"/>
      <c r="J523" s="18"/>
      <c r="K523" s="18"/>
      <c r="L523" s="88">
        <f>SUM(F523:K523)</f>
        <v>115900.51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222985.53</v>
      </c>
      <c r="G524" s="108">
        <f t="shared" ref="G524:L524" si="36">SUM(G521:G523)</f>
        <v>89272.77</v>
      </c>
      <c r="H524" s="108">
        <f t="shared" si="36"/>
        <v>408428.62</v>
      </c>
      <c r="I524" s="108">
        <f t="shared" si="36"/>
        <v>238.84</v>
      </c>
      <c r="J524" s="108">
        <f t="shared" si="36"/>
        <v>0</v>
      </c>
      <c r="K524" s="108">
        <f t="shared" si="36"/>
        <v>0</v>
      </c>
      <c r="L524" s="89">
        <f t="shared" si="36"/>
        <v>720925.76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43981.85</v>
      </c>
      <c r="G526" s="18">
        <v>4259.1100000000006</v>
      </c>
      <c r="H526" s="18">
        <v>400</v>
      </c>
      <c r="I526" s="18">
        <v>955.77</v>
      </c>
      <c r="J526" s="18"/>
      <c r="K526" s="18"/>
      <c r="L526" s="88">
        <f>SUM(F526:K526)</f>
        <v>49596.729999999996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43981.85</v>
      </c>
      <c r="G529" s="89">
        <f t="shared" ref="G529:L529" si="37">SUM(G526:G528)</f>
        <v>4259.1100000000006</v>
      </c>
      <c r="H529" s="89">
        <f t="shared" si="37"/>
        <v>400</v>
      </c>
      <c r="I529" s="89">
        <f t="shared" si="37"/>
        <v>955.77</v>
      </c>
      <c r="J529" s="89">
        <f t="shared" si="37"/>
        <v>0</v>
      </c>
      <c r="K529" s="89">
        <f t="shared" si="37"/>
        <v>0</v>
      </c>
      <c r="L529" s="89">
        <f t="shared" si="37"/>
        <v>49596.729999999996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29637.242587679997</v>
      </c>
      <c r="G531" s="18">
        <v>14651.174870639998</v>
      </c>
      <c r="H531" s="18">
        <v>2419.7460000000001</v>
      </c>
      <c r="I531" s="18">
        <v>172.839</v>
      </c>
      <c r="J531" s="18">
        <v>345.678</v>
      </c>
      <c r="K531" s="18">
        <v>442.46783999999997</v>
      </c>
      <c r="L531" s="88">
        <f>SUM(F531:K531)</f>
        <v>47669.148298319989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29637.242587679997</v>
      </c>
      <c r="G534" s="89">
        <f t="shared" ref="G534:L534" si="38">SUM(G531:G533)</f>
        <v>14651.174870639998</v>
      </c>
      <c r="H534" s="89">
        <f t="shared" si="38"/>
        <v>2419.7460000000001</v>
      </c>
      <c r="I534" s="89">
        <f t="shared" si="38"/>
        <v>172.839</v>
      </c>
      <c r="J534" s="89">
        <f t="shared" si="38"/>
        <v>345.678</v>
      </c>
      <c r="K534" s="89">
        <f t="shared" si="38"/>
        <v>442.46783999999997</v>
      </c>
      <c r="L534" s="89">
        <f t="shared" si="38"/>
        <v>47669.148298319989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23441.360000000001</v>
      </c>
      <c r="I541" s="18"/>
      <c r="J541" s="18"/>
      <c r="K541" s="18"/>
      <c r="L541" s="88">
        <f>SUM(F541:K541)</f>
        <v>23441.360000000001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1329.04</v>
      </c>
      <c r="G543" s="18">
        <f>101.58+143.14+19.29+122.55</f>
        <v>386.56</v>
      </c>
      <c r="H543" s="18">
        <v>51765</v>
      </c>
      <c r="I543" s="18"/>
      <c r="J543" s="18"/>
      <c r="K543" s="18"/>
      <c r="L543" s="88">
        <f>SUM(F543:K543)</f>
        <v>53480.6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1329.04</v>
      </c>
      <c r="G544" s="193">
        <f t="shared" ref="G544:L544" si="40">SUM(G541:G543)</f>
        <v>386.56</v>
      </c>
      <c r="H544" s="193">
        <f t="shared" si="40"/>
        <v>75206.36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76921.959999999992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297933.66258767998</v>
      </c>
      <c r="G545" s="89">
        <f t="shared" ref="G545:L545" si="41">G524+G529+G534+G539+G544</f>
        <v>108569.61487064</v>
      </c>
      <c r="H545" s="89">
        <f t="shared" si="41"/>
        <v>486454.72599999997</v>
      </c>
      <c r="I545" s="89">
        <f t="shared" si="41"/>
        <v>1367.4489999999998</v>
      </c>
      <c r="J545" s="89">
        <f t="shared" si="41"/>
        <v>345.678</v>
      </c>
      <c r="K545" s="89">
        <f t="shared" si="41"/>
        <v>442.46783999999997</v>
      </c>
      <c r="L545" s="89">
        <f t="shared" si="41"/>
        <v>895113.59829831996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501158.93</v>
      </c>
      <c r="G549" s="87">
        <f>L526</f>
        <v>49596.729999999996</v>
      </c>
      <c r="H549" s="87">
        <f>L531</f>
        <v>47669.148298319989</v>
      </c>
      <c r="I549" s="87">
        <f>L536</f>
        <v>0</v>
      </c>
      <c r="J549" s="87">
        <f>L541</f>
        <v>23441.360000000001</v>
      </c>
      <c r="K549" s="87">
        <f>SUM(F549:J549)</f>
        <v>621866.16829832003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103866.32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103866.32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115900.51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53480.6</v>
      </c>
      <c r="K551" s="87">
        <f>SUM(F551:J551)</f>
        <v>169381.11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720925.76</v>
      </c>
      <c r="G552" s="89">
        <f t="shared" si="42"/>
        <v>49596.729999999996</v>
      </c>
      <c r="H552" s="89">
        <f t="shared" si="42"/>
        <v>47669.148298319989</v>
      </c>
      <c r="I552" s="89">
        <f t="shared" si="42"/>
        <v>0</v>
      </c>
      <c r="J552" s="89">
        <f t="shared" si="42"/>
        <v>76921.959999999992</v>
      </c>
      <c r="K552" s="89">
        <f t="shared" si="42"/>
        <v>895113.59829831996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718200</v>
      </c>
      <c r="H575" s="18">
        <v>1602290</v>
      </c>
      <c r="I575" s="87">
        <f>SUM(F575:H575)</f>
        <v>2320490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123057.44999999998</v>
      </c>
      <c r="G579" s="18">
        <v>103866.32</v>
      </c>
      <c r="H579" s="18">
        <v>115900.51</v>
      </c>
      <c r="I579" s="87">
        <f t="shared" si="47"/>
        <v>342824.27999999997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117559.209833333-H592-H595</f>
        <v>90847.359833333001</v>
      </c>
      <c r="I591" s="18">
        <v>38007.864833333333</v>
      </c>
      <c r="J591" s="18">
        <v>109604.07533333333</v>
      </c>
      <c r="K591" s="104">
        <f t="shared" ref="K591:K597" si="48">SUM(H591:J591)</f>
        <v>238459.29999999964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24770</v>
      </c>
      <c r="I592" s="18"/>
      <c r="J592" s="18"/>
      <c r="K592" s="104">
        <f t="shared" si="48"/>
        <v>24770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1941.85</v>
      </c>
      <c r="I595" s="18"/>
      <c r="J595" s="18"/>
      <c r="K595" s="104">
        <f t="shared" si="48"/>
        <v>1941.85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117559.20983333301</v>
      </c>
      <c r="I598" s="108">
        <f>SUM(I591:I597)</f>
        <v>38007.864833333333</v>
      </c>
      <c r="J598" s="108">
        <f>SUM(J591:J597)</f>
        <v>109604.07533333333</v>
      </c>
      <c r="K598" s="108">
        <f>SUM(K591:K597)</f>
        <v>265171.14999999962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24888.45+8689.2+17940.74</f>
        <v>51518.39</v>
      </c>
      <c r="I604" s="18">
        <v>2809.29</v>
      </c>
      <c r="J604" s="18">
        <v>8101.21</v>
      </c>
      <c r="K604" s="104">
        <f>SUM(H604:J604)</f>
        <v>62428.89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51518.39</v>
      </c>
      <c r="I605" s="108">
        <f>SUM(I602:I604)</f>
        <v>2809.29</v>
      </c>
      <c r="J605" s="108">
        <f>SUM(J602:J604)</f>
        <v>8101.21</v>
      </c>
      <c r="K605" s="108">
        <f>SUM(K602:K604)</f>
        <v>62428.89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362901.1</v>
      </c>
      <c r="H617" s="109">
        <f>SUM(F52)</f>
        <v>362901.1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18056.489999999998</v>
      </c>
      <c r="H618" s="109">
        <f>SUM(G52)</f>
        <v>18056.489999999998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35006.819999999992</v>
      </c>
      <c r="H619" s="109">
        <f>SUM(H52)</f>
        <v>35006.82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74018.25</v>
      </c>
      <c r="H621" s="109">
        <f>SUM(J52)</f>
        <v>74018.25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321449.37</v>
      </c>
      <c r="H622" s="109">
        <f>F476</f>
        <v>321449.36999998894</v>
      </c>
      <c r="I622" s="121" t="s">
        <v>101</v>
      </c>
      <c r="J622" s="109">
        <f t="shared" ref="J622:J655" si="50">G622-H622</f>
        <v>1.1059455573558807E-8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74018.25</v>
      </c>
      <c r="H626" s="109">
        <f>J476</f>
        <v>74018.25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5769832.7999999998</v>
      </c>
      <c r="H627" s="104">
        <f>SUM(F468)</f>
        <v>5769832.7999999998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120310.23</v>
      </c>
      <c r="H628" s="104">
        <f>SUM(G468)</f>
        <v>120310.23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86566.420000000013</v>
      </c>
      <c r="H629" s="104">
        <f>SUM(H468)</f>
        <v>86566.42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74018.25</v>
      </c>
      <c r="H631" s="104">
        <f>SUM(J468)</f>
        <v>74018.25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5607571.9199999999</v>
      </c>
      <c r="H632" s="104">
        <f>SUM(F472)</f>
        <v>5607571.9200000102</v>
      </c>
      <c r="I632" s="140" t="s">
        <v>111</v>
      </c>
      <c r="J632" s="109">
        <f t="shared" si="50"/>
        <v>-1.0244548320770264E-8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86566.420000000013</v>
      </c>
      <c r="H633" s="104">
        <f>SUM(H472)</f>
        <v>86566.419999999969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41071.83</v>
      </c>
      <c r="H634" s="104">
        <f>I369</f>
        <v>41071.83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120310.23</v>
      </c>
      <c r="H635" s="104">
        <f>SUM(G472)</f>
        <v>120310.23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74018.25</v>
      </c>
      <c r="H637" s="164">
        <f>SUM(J468)</f>
        <v>74018.25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74018.25</v>
      </c>
      <c r="H640" s="104">
        <f>SUM(G461)</f>
        <v>74018.25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74018.25</v>
      </c>
      <c r="H642" s="104">
        <f>SUM(I461)</f>
        <v>74018.25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18.25</v>
      </c>
      <c r="H644" s="104">
        <f>H408</f>
        <v>18.25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74000</v>
      </c>
      <c r="H645" s="104">
        <f>G408</f>
        <v>74000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74018.25</v>
      </c>
      <c r="H646" s="104">
        <f>L408</f>
        <v>74018.25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265171.14999999962</v>
      </c>
      <c r="H647" s="104">
        <f>L208+L226+L244</f>
        <v>265171.14999999997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62428.89</v>
      </c>
      <c r="H648" s="104">
        <f>(J257+J338)-(J255+J336)</f>
        <v>62428.89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117559.20983333333</v>
      </c>
      <c r="H649" s="104">
        <f>H598</f>
        <v>117559.20983333301</v>
      </c>
      <c r="I649" s="140" t="s">
        <v>389</v>
      </c>
      <c r="J649" s="109">
        <f t="shared" si="50"/>
        <v>3.2014213502407074E-10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38007.864833333333</v>
      </c>
      <c r="H650" s="104">
        <f>I598</f>
        <v>38007.864833333333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109604.07533333333</v>
      </c>
      <c r="H651" s="104">
        <f>J598</f>
        <v>109604.07533333333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9805.9</v>
      </c>
      <c r="H652" s="104">
        <f>K263+K345</f>
        <v>9805.9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74000</v>
      </c>
      <c r="H655" s="104">
        <f>K266+K347</f>
        <v>74000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3042773.8998333327</v>
      </c>
      <c r="G660" s="19">
        <f>(L229+L309+L359)</f>
        <v>860074.18483333336</v>
      </c>
      <c r="H660" s="19">
        <f>(L247+L328+L360)</f>
        <v>1827794.5853333334</v>
      </c>
      <c r="I660" s="19">
        <f>SUM(F660:H660)</f>
        <v>5730642.6699999999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60719.18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60719.18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110682.82949999999</v>
      </c>
      <c r="G662" s="19">
        <f>(L226+L306)-(J226+J306)</f>
        <v>35198.574500000002</v>
      </c>
      <c r="H662" s="19">
        <f>(L244+L325)-(J244+J325)</f>
        <v>101502.86599999999</v>
      </c>
      <c r="I662" s="19">
        <f>SUM(F662:H662)</f>
        <v>247384.26999999996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174575.83999999997</v>
      </c>
      <c r="G663" s="199">
        <f>SUM(G575:G587)+SUM(I602:I604)+L612</f>
        <v>824875.6100000001</v>
      </c>
      <c r="H663" s="199">
        <f>SUM(H575:H587)+SUM(J602:J604)+L613</f>
        <v>1726291.72</v>
      </c>
      <c r="I663" s="19">
        <f>SUM(F663:H663)</f>
        <v>2725743.17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2696796.0503333327</v>
      </c>
      <c r="G664" s="19">
        <f>G660-SUM(G661:G663)</f>
        <v>3.3333327155560255E-4</v>
      </c>
      <c r="H664" s="19">
        <f>H660-SUM(H661:H663)</f>
        <v>-6.666665431112051E-4</v>
      </c>
      <c r="I664" s="19">
        <f>I660-SUM(I661:I663)</f>
        <v>2696796.05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134.54</v>
      </c>
      <c r="G665" s="248"/>
      <c r="H665" s="248"/>
      <c r="I665" s="19">
        <f>SUM(F665:H665)</f>
        <v>134.54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20044.57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20044.57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20044.57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20044.57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2" sqref="C4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Madison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778438.14999999991</v>
      </c>
      <c r="C9" s="229">
        <f>'DOE25'!G197+'DOE25'!G215+'DOE25'!G233+'DOE25'!G276+'DOE25'!G295+'DOE25'!G314</f>
        <v>282788.29000000004</v>
      </c>
    </row>
    <row r="10" spans="1:3" x14ac:dyDescent="0.2">
      <c r="A10" t="s">
        <v>779</v>
      </c>
      <c r="B10" s="240">
        <v>733056.86</v>
      </c>
      <c r="C10" s="240">
        <v>256277.08000000005</v>
      </c>
    </row>
    <row r="11" spans="1:3" x14ac:dyDescent="0.2">
      <c r="A11" t="s">
        <v>780</v>
      </c>
      <c r="B11" s="240">
        <v>45381.29</v>
      </c>
      <c r="C11" s="240">
        <f>23744.01+2767.2</f>
        <v>26511.21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778438.15</v>
      </c>
      <c r="C13" s="231">
        <f>SUM(C10:C12)</f>
        <v>282788.29000000004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225407.88</v>
      </c>
      <c r="C18" s="229">
        <f>'DOE25'!G198+'DOE25'!G216+'DOE25'!G234+'DOE25'!G277+'DOE25'!G296+'DOE25'!G315</f>
        <v>89750.290000000008</v>
      </c>
    </row>
    <row r="19" spans="1:3" x14ac:dyDescent="0.2">
      <c r="A19" t="s">
        <v>779</v>
      </c>
      <c r="B19" s="240">
        <v>115563.28</v>
      </c>
      <c r="C19" s="240">
        <v>81191.510000000009</v>
      </c>
    </row>
    <row r="20" spans="1:3" x14ac:dyDescent="0.2">
      <c r="A20" t="s">
        <v>780</v>
      </c>
      <c r="B20" s="240">
        <v>109844.6</v>
      </c>
      <c r="C20" s="240">
        <v>8558.7799999999988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225407.88</v>
      </c>
      <c r="C22" s="231">
        <f>SUM(C19:C21)</f>
        <v>89750.290000000008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48384.35</v>
      </c>
      <c r="C36" s="235">
        <f>'DOE25'!G200+'DOE25'!G218+'DOE25'!G236+'DOE25'!G279+'DOE25'!G298+'DOE25'!G317</f>
        <v>5055.51</v>
      </c>
    </row>
    <row r="37" spans="1:3" x14ac:dyDescent="0.2">
      <c r="A37" t="s">
        <v>779</v>
      </c>
      <c r="B37" s="240">
        <v>48384.35</v>
      </c>
      <c r="C37" s="240">
        <v>5055.51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48384.35</v>
      </c>
      <c r="C40" s="231">
        <f>SUM(C37:C39)</f>
        <v>5055.51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2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Madison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4192857.9699999997</v>
      </c>
      <c r="D5" s="20">
        <f>SUM('DOE25'!L197:L200)+SUM('DOE25'!L215:L218)+SUM('DOE25'!L233:L236)-F5-G5</f>
        <v>4169849.01</v>
      </c>
      <c r="E5" s="243"/>
      <c r="F5" s="255">
        <f>SUM('DOE25'!J197:J200)+SUM('DOE25'!J215:J218)+SUM('DOE25'!J233:J236)</f>
        <v>22928.959999999999</v>
      </c>
      <c r="G5" s="53">
        <f>SUM('DOE25'!K197:K200)+SUM('DOE25'!K215:K218)+SUM('DOE25'!K233:K236)</f>
        <v>80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250828.66000000003</v>
      </c>
      <c r="D6" s="20">
        <f>'DOE25'!L202+'DOE25'!L220+'DOE25'!L238-F6-G6</f>
        <v>250520.66000000003</v>
      </c>
      <c r="E6" s="243"/>
      <c r="F6" s="255">
        <f>'DOE25'!J202+'DOE25'!J220+'DOE25'!J238</f>
        <v>0</v>
      </c>
      <c r="G6" s="53">
        <f>'DOE25'!K202+'DOE25'!K220+'DOE25'!K238</f>
        <v>308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104882.12999999999</v>
      </c>
      <c r="D7" s="20">
        <f>'DOE25'!L203+'DOE25'!L221+'DOE25'!L239-F7-G7</f>
        <v>104882.12999999999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149319.76999999999</v>
      </c>
      <c r="D8" s="243"/>
      <c r="E8" s="20">
        <f>'DOE25'!L204+'DOE25'!L222+'DOE25'!L240-F8-G8-D9-D11</f>
        <v>146248.57999999999</v>
      </c>
      <c r="F8" s="255">
        <f>'DOE25'!J204+'DOE25'!J222+'DOE25'!J240</f>
        <v>0</v>
      </c>
      <c r="G8" s="53">
        <f>'DOE25'!K204+'DOE25'!K222+'DOE25'!K240</f>
        <v>3071.19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24892.26999999999</v>
      </c>
      <c r="D9" s="244">
        <f>230430.27-202338-3200</f>
        <v>24892.26999999999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3200</v>
      </c>
      <c r="D10" s="243"/>
      <c r="E10" s="244">
        <v>3200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56218.23000000001</v>
      </c>
      <c r="D11" s="244">
        <f>202338-146119.77</f>
        <v>56218.23000000001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177640.5</v>
      </c>
      <c r="D12" s="20">
        <f>'DOE25'!L205+'DOE25'!L223+'DOE25'!L241-F12-G12</f>
        <v>177462.5</v>
      </c>
      <c r="E12" s="243"/>
      <c r="F12" s="255">
        <f>'DOE25'!J205+'DOE25'!J223+'DOE25'!J241</f>
        <v>10</v>
      </c>
      <c r="G12" s="53">
        <f>'DOE25'!K205+'DOE25'!K223+'DOE25'!K241</f>
        <v>168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301955.33999999997</v>
      </c>
      <c r="D14" s="20">
        <f>'DOE25'!L207+'DOE25'!L225+'DOE25'!L243-F14-G14</f>
        <v>300005.84999999998</v>
      </c>
      <c r="E14" s="243"/>
      <c r="F14" s="255">
        <f>'DOE25'!J207+'DOE25'!J225+'DOE25'!J243</f>
        <v>1949.49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265171.14999999997</v>
      </c>
      <c r="D15" s="20">
        <f>'DOE25'!L208+'DOE25'!L226+'DOE25'!L244-F15-G15</f>
        <v>245571.44999999995</v>
      </c>
      <c r="E15" s="243"/>
      <c r="F15" s="255">
        <f>'DOE25'!J208+'DOE25'!J226+'DOE25'!J244</f>
        <v>19599.7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84603.09</v>
      </c>
      <c r="D29" s="20">
        <f>'DOE25'!L358+'DOE25'!L359+'DOE25'!L360-'DOE25'!I367-F29-G29</f>
        <v>82993.09</v>
      </c>
      <c r="E29" s="243"/>
      <c r="F29" s="255">
        <f>'DOE25'!J358+'DOE25'!J359+'DOE25'!J360</f>
        <v>1610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86566.420000000013</v>
      </c>
      <c r="D31" s="20">
        <f>'DOE25'!L290+'DOE25'!L309+'DOE25'!L328+'DOE25'!L333+'DOE25'!L334+'DOE25'!L335-F31-G31</f>
        <v>66992.74000000002</v>
      </c>
      <c r="E31" s="243"/>
      <c r="F31" s="255">
        <f>'DOE25'!J290+'DOE25'!J309+'DOE25'!J328+'DOE25'!J333+'DOE25'!J334+'DOE25'!J335</f>
        <v>17940.739999999998</v>
      </c>
      <c r="G31" s="53">
        <f>'DOE25'!K290+'DOE25'!K309+'DOE25'!K328+'DOE25'!K333+'DOE25'!K334+'DOE25'!K335</f>
        <v>1632.94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5479387.9299999997</v>
      </c>
      <c r="E33" s="246">
        <f>SUM(E5:E31)</f>
        <v>149448.57999999999</v>
      </c>
      <c r="F33" s="246">
        <f>SUM(F5:F31)</f>
        <v>64038.89</v>
      </c>
      <c r="G33" s="246">
        <f>SUM(G5:G31)</f>
        <v>5260.13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149448.57999999999</v>
      </c>
      <c r="E35" s="249"/>
    </row>
    <row r="36" spans="2:8" ht="12" thickTop="1" x14ac:dyDescent="0.2">
      <c r="B36" t="s">
        <v>815</v>
      </c>
      <c r="D36" s="20">
        <f>D33</f>
        <v>5479387.9299999997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D81" sqref="D8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Madison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349375.14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74018.25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406.19000000000233</v>
      </c>
      <c r="D11" s="95">
        <f>'DOE25'!G12</f>
        <v>0</v>
      </c>
      <c r="E11" s="95">
        <f>'DOE25'!H12</f>
        <v>25367.839999999997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54.42</v>
      </c>
      <c r="D12" s="95">
        <f>'DOE25'!G13</f>
        <v>18056.489999999998</v>
      </c>
      <c r="E12" s="95">
        <f>'DOE25'!H13</f>
        <v>9638.98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13065.349999999999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362901.1</v>
      </c>
      <c r="D18" s="41">
        <f>SUM(D8:D17)</f>
        <v>18056.489999999998</v>
      </c>
      <c r="E18" s="41">
        <f>SUM(E8:E17)</f>
        <v>35006.819999999992</v>
      </c>
      <c r="F18" s="41">
        <f>SUM(F8:F17)</f>
        <v>0</v>
      </c>
      <c r="G18" s="41">
        <f>SUM(G8:G17)</f>
        <v>74018.25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9000</v>
      </c>
      <c r="D22" s="95">
        <f>'DOE25'!G23</f>
        <v>15155.749999999998</v>
      </c>
      <c r="E22" s="95">
        <f>'DOE25'!H23</f>
        <v>313.55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12280.189999999999</v>
      </c>
      <c r="D23" s="95">
        <f>'DOE25'!G24</f>
        <v>73.47</v>
      </c>
      <c r="E23" s="95">
        <f>'DOE25'!H24</f>
        <v>23.459999999999127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19010.760000000002</v>
      </c>
      <c r="D28" s="95">
        <f>'DOE25'!G29</f>
        <v>2827.27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1160.78</v>
      </c>
      <c r="D29" s="95">
        <f>'DOE25'!G30</f>
        <v>0</v>
      </c>
      <c r="E29" s="95">
        <f>'DOE25'!H30</f>
        <v>34669.81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41451.729999999996</v>
      </c>
      <c r="D31" s="41">
        <f>SUM(D21:D30)</f>
        <v>18056.489999999998</v>
      </c>
      <c r="E31" s="41">
        <f>SUM(E21:E30)</f>
        <v>35006.82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126358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74018.25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83559.09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111532.28000000003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321449.37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74018.25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362901.1</v>
      </c>
      <c r="D51" s="41">
        <f>D50+D31</f>
        <v>18056.489999999998</v>
      </c>
      <c r="E51" s="41">
        <f>E50+E31</f>
        <v>35006.82</v>
      </c>
      <c r="F51" s="41">
        <f>F50+F31</f>
        <v>0</v>
      </c>
      <c r="G51" s="41">
        <f>G50+G31</f>
        <v>74018.25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3931784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3482.14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104.18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18.25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28393.29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31332.05</v>
      </c>
      <c r="D61" s="95">
        <f>SUM('DOE25'!G98:G110)</f>
        <v>32325.89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34918.369999999995</v>
      </c>
      <c r="D62" s="130">
        <f>SUM(D57:D61)</f>
        <v>60719.18</v>
      </c>
      <c r="E62" s="130">
        <f>SUM(E57:E61)</f>
        <v>0</v>
      </c>
      <c r="F62" s="130">
        <f>SUM(F57:F61)</f>
        <v>0</v>
      </c>
      <c r="G62" s="130">
        <f>SUM(G57:G61)</f>
        <v>18.25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3966702.37</v>
      </c>
      <c r="D63" s="22">
        <f>D56+D62</f>
        <v>60719.18</v>
      </c>
      <c r="E63" s="22">
        <f>E56+E62</f>
        <v>0</v>
      </c>
      <c r="F63" s="22">
        <f>F56+F62</f>
        <v>0</v>
      </c>
      <c r="G63" s="22">
        <f>G56+G62</f>
        <v>18.25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559688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1122555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1682243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51478.12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84.81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51478.12</v>
      </c>
      <c r="D78" s="130">
        <f>SUM(D72:D77)</f>
        <v>84.81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1733721.12</v>
      </c>
      <c r="D81" s="130">
        <f>SUM(D79:D80)+D78+D70</f>
        <v>84.81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69409.31</v>
      </c>
      <c r="D88" s="95">
        <f>SUM('DOE25'!G153:G161)</f>
        <v>49700.340000000004</v>
      </c>
      <c r="E88" s="95">
        <f>SUM('DOE25'!H153:H161)</f>
        <v>86566.420000000013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69409.31</v>
      </c>
      <c r="D91" s="131">
        <f>SUM(D85:D90)</f>
        <v>49700.340000000004</v>
      </c>
      <c r="E91" s="131">
        <f>SUM(E85:E90)</f>
        <v>86566.420000000013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9805.9</v>
      </c>
      <c r="E96" s="95">
        <f>'DOE25'!H179</f>
        <v>0</v>
      </c>
      <c r="F96" s="95">
        <f>'DOE25'!I179</f>
        <v>0</v>
      </c>
      <c r="G96" s="95">
        <f>'DOE25'!J179</f>
        <v>74000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9805.9</v>
      </c>
      <c r="E103" s="86">
        <f>SUM(E93:E102)</f>
        <v>0</v>
      </c>
      <c r="F103" s="86">
        <f>SUM(F93:F102)</f>
        <v>0</v>
      </c>
      <c r="G103" s="86">
        <f>SUM(G93:G102)</f>
        <v>74000</v>
      </c>
    </row>
    <row r="104" spans="1:7" ht="12.75" thickTop="1" thickBot="1" x14ac:dyDescent="0.25">
      <c r="A104" s="33" t="s">
        <v>765</v>
      </c>
      <c r="C104" s="86">
        <f>C63+C81+C91+C103</f>
        <v>5769832.7999999998</v>
      </c>
      <c r="D104" s="86">
        <f>D63+D81+D91+D103</f>
        <v>120310.23</v>
      </c>
      <c r="E104" s="86">
        <f>E63+E81+E91+E103</f>
        <v>86566.420000000013</v>
      </c>
      <c r="F104" s="86">
        <f>F63+F81+F91+F103</f>
        <v>0</v>
      </c>
      <c r="G104" s="86">
        <f>G63+G81+G103</f>
        <v>74018.25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3422335.48</v>
      </c>
      <c r="D109" s="24" t="s">
        <v>289</v>
      </c>
      <c r="E109" s="95">
        <f>('DOE25'!L276)+('DOE25'!L295)+('DOE25'!L314)</f>
        <v>53147.75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720925.76</v>
      </c>
      <c r="D110" s="24" t="s">
        <v>289</v>
      </c>
      <c r="E110" s="95">
        <f>('DOE25'!L277)+('DOE25'!L296)+('DOE25'!L315)</f>
        <v>2899.87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49596.729999999996</v>
      </c>
      <c r="D112" s="24" t="s">
        <v>289</v>
      </c>
      <c r="E112" s="95">
        <f>+('DOE25'!L279)+('DOE25'!L298)+('DOE25'!L317)</f>
        <v>13369.54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4192857.97</v>
      </c>
      <c r="D115" s="86">
        <f>SUM(D109:D114)</f>
        <v>0</v>
      </c>
      <c r="E115" s="86">
        <f>SUM(E109:E114)</f>
        <v>69417.16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250828.66000000003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104882.12999999999</v>
      </c>
      <c r="D119" s="24" t="s">
        <v>289</v>
      </c>
      <c r="E119" s="95">
        <f>+('DOE25'!L282)+('DOE25'!L301)+('DOE25'!L320)</f>
        <v>14443.5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230430.27</v>
      </c>
      <c r="D120" s="24" t="s">
        <v>289</v>
      </c>
      <c r="E120" s="95">
        <f>+('DOE25'!L283)+('DOE25'!L302)+('DOE25'!L321)</f>
        <v>892.93999999999994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177640.5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301955.33999999997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265171.14999999997</v>
      </c>
      <c r="D124" s="24" t="s">
        <v>289</v>
      </c>
      <c r="E124" s="95">
        <f>+('DOE25'!L287)+('DOE25'!L306)+('DOE25'!L325)</f>
        <v>1812.82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120310.23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1330908.0499999998</v>
      </c>
      <c r="D128" s="86">
        <f>SUM(D118:D127)</f>
        <v>120310.23</v>
      </c>
      <c r="E128" s="86">
        <f>SUM(E118:E127)</f>
        <v>17149.260000000002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9805.9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74011.16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7.09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-18.25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83805.899999999994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5607571.9199999999</v>
      </c>
      <c r="D145" s="86">
        <f>(D115+D128+D144)</f>
        <v>120310.23</v>
      </c>
      <c r="E145" s="86">
        <f>(E115+E128+E144)</f>
        <v>86566.420000000013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Madison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20045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20045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3475483</v>
      </c>
      <c r="D10" s="182">
        <f>ROUND((C10/$C$28)*100,1)</f>
        <v>61.3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723826</v>
      </c>
      <c r="D11" s="182">
        <f>ROUND((C11/$C$28)*100,1)</f>
        <v>12.8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62966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250829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119326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231323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177641</v>
      </c>
      <c r="D18" s="182">
        <f t="shared" si="0"/>
        <v>3.1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301955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266984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59590.82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5669923.8200000003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5669923.8200000003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3931784</v>
      </c>
      <c r="D35" s="182">
        <f t="shared" ref="D35:D40" si="1">ROUND((C35/$C$41)*100,1)</f>
        <v>66.599999999999994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34936.620000000112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1682243</v>
      </c>
      <c r="D37" s="182">
        <f t="shared" si="1"/>
        <v>28.5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51563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205676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5906202.6200000001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Madison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2015-09-18T14:11:20Z</cp:lastPrinted>
  <dcterms:created xsi:type="dcterms:W3CDTF">1997-12-04T19:04:30Z</dcterms:created>
  <dcterms:modified xsi:type="dcterms:W3CDTF">2015-11-13T15:16:10Z</dcterms:modified>
</cp:coreProperties>
</file>