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4" i="1" l="1"/>
  <c r="H604" i="1"/>
  <c r="J326" i="1"/>
  <c r="H326" i="1"/>
  <c r="H307" i="1"/>
  <c r="J288" i="1"/>
  <c r="H288" i="1"/>
  <c r="C39" i="12" l="1"/>
  <c r="C37" i="12"/>
  <c r="C28" i="12"/>
  <c r="C30" i="12"/>
  <c r="C20" i="12"/>
  <c r="C21" i="12"/>
  <c r="C19" i="12"/>
  <c r="C10" i="12"/>
  <c r="C11" i="12" s="1"/>
  <c r="C12" i="12"/>
  <c r="B39" i="12"/>
  <c r="B30" i="12"/>
  <c r="B21" i="12"/>
  <c r="B12" i="12"/>
  <c r="B28" i="12"/>
  <c r="B19" i="12"/>
  <c r="B10" i="12"/>
  <c r="B20" i="12" l="1"/>
  <c r="I564" i="1"/>
  <c r="H564" i="1"/>
  <c r="G564" i="1"/>
  <c r="F564" i="1"/>
  <c r="I563" i="1"/>
  <c r="H563" i="1"/>
  <c r="G563" i="1"/>
  <c r="F563" i="1"/>
  <c r="I562" i="1"/>
  <c r="H562" i="1"/>
  <c r="G562" i="1"/>
  <c r="F562" i="1"/>
  <c r="J564" i="1"/>
  <c r="J563" i="1"/>
  <c r="J562" i="1"/>
  <c r="F559" i="1"/>
  <c r="J558" i="1"/>
  <c r="I558" i="1"/>
  <c r="H558" i="1"/>
  <c r="G558" i="1"/>
  <c r="F558" i="1"/>
  <c r="J557" i="1"/>
  <c r="I557" i="1"/>
  <c r="H557" i="1"/>
  <c r="G557" i="1"/>
  <c r="F557" i="1"/>
  <c r="J559" i="1"/>
  <c r="I559" i="1"/>
  <c r="H559" i="1"/>
  <c r="G559" i="1"/>
  <c r="F49" i="1" l="1"/>
  <c r="F48" i="1"/>
  <c r="F29" i="1"/>
  <c r="F9" i="1" l="1"/>
  <c r="J179" i="1" l="1"/>
  <c r="H400" i="1" l="1"/>
  <c r="J468" i="1"/>
  <c r="H161" i="1"/>
  <c r="H102" i="1"/>
  <c r="F295" i="1"/>
  <c r="J321" i="1"/>
  <c r="I333" i="1"/>
  <c r="H333" i="1"/>
  <c r="G333" i="1"/>
  <c r="F333" i="1"/>
  <c r="I322" i="1"/>
  <c r="H322" i="1"/>
  <c r="G321" i="1"/>
  <c r="F321" i="1"/>
  <c r="H320" i="1"/>
  <c r="G320" i="1"/>
  <c r="F320" i="1"/>
  <c r="J319" i="1"/>
  <c r="I319" i="1"/>
  <c r="H319" i="1"/>
  <c r="G319" i="1"/>
  <c r="F319" i="1"/>
  <c r="H332" i="1"/>
  <c r="I317" i="1"/>
  <c r="H317" i="1"/>
  <c r="G317" i="1"/>
  <c r="F317" i="1"/>
  <c r="K316" i="1"/>
  <c r="J316" i="1"/>
  <c r="I316" i="1"/>
  <c r="H316" i="1"/>
  <c r="G315" i="1"/>
  <c r="F315" i="1"/>
  <c r="I315" i="1"/>
  <c r="K314" i="1"/>
  <c r="J314" i="1"/>
  <c r="I314" i="1"/>
  <c r="H314" i="1"/>
  <c r="G314" i="1"/>
  <c r="F314" i="1"/>
  <c r="J307" i="1"/>
  <c r="G300" i="1"/>
  <c r="F300" i="1"/>
  <c r="I298" i="1"/>
  <c r="G298" i="1"/>
  <c r="F298" i="1"/>
  <c r="G296" i="1"/>
  <c r="F296" i="1"/>
  <c r="J296" i="1"/>
  <c r="I296" i="1"/>
  <c r="H296" i="1"/>
  <c r="I295" i="1"/>
  <c r="H295" i="1"/>
  <c r="G295" i="1"/>
  <c r="I279" i="1" l="1"/>
  <c r="H279" i="1"/>
  <c r="G279" i="1"/>
  <c r="F279" i="1"/>
  <c r="H277" i="1"/>
  <c r="G277" i="1"/>
  <c r="F277" i="1"/>
  <c r="I277" i="1"/>
  <c r="J277" i="1"/>
  <c r="K276" i="1"/>
  <c r="J276" i="1"/>
  <c r="I276" i="1"/>
  <c r="H276" i="1"/>
  <c r="G276" i="1"/>
  <c r="F276" i="1"/>
  <c r="K295" i="1"/>
  <c r="H298" i="1"/>
  <c r="F288" i="1"/>
  <c r="G282" i="1"/>
  <c r="G281" i="1"/>
  <c r="F281" i="1"/>
  <c r="I321" i="1"/>
  <c r="J320" i="1"/>
  <c r="I320" i="1"/>
  <c r="J317" i="1"/>
  <c r="J315" i="1"/>
  <c r="H315" i="1"/>
  <c r="J302" i="1"/>
  <c r="I302" i="1"/>
  <c r="H302" i="1"/>
  <c r="G302" i="1"/>
  <c r="F302" i="1"/>
  <c r="J301" i="1"/>
  <c r="I301" i="1"/>
  <c r="H301" i="1"/>
  <c r="G301" i="1"/>
  <c r="F301" i="1"/>
  <c r="H300" i="1"/>
  <c r="J298" i="1"/>
  <c r="J283" i="1"/>
  <c r="I283" i="1"/>
  <c r="H283" i="1"/>
  <c r="G283" i="1"/>
  <c r="F283" i="1"/>
  <c r="J282" i="1"/>
  <c r="I282" i="1"/>
  <c r="H282" i="1"/>
  <c r="F282" i="1"/>
  <c r="J279" i="1"/>
  <c r="F521" i="1" l="1"/>
  <c r="H523" i="1" l="1"/>
  <c r="H522" i="1"/>
  <c r="H521" i="1"/>
  <c r="G523" i="1"/>
  <c r="G522" i="1"/>
  <c r="G521" i="1"/>
  <c r="F523" i="1"/>
  <c r="F522" i="1"/>
  <c r="I523" i="1"/>
  <c r="I522" i="1"/>
  <c r="I521" i="1"/>
  <c r="I527" i="1"/>
  <c r="I526" i="1"/>
  <c r="H528" i="1"/>
  <c r="H527" i="1"/>
  <c r="H526" i="1"/>
  <c r="G528" i="1"/>
  <c r="G527" i="1"/>
  <c r="G526" i="1"/>
  <c r="F528" i="1"/>
  <c r="F527" i="1"/>
  <c r="F526" i="1"/>
  <c r="J523" i="1" l="1"/>
  <c r="J522" i="1"/>
  <c r="J521" i="1"/>
  <c r="K522" i="1"/>
  <c r="K523" i="1"/>
  <c r="K521" i="1"/>
  <c r="F197" i="1" l="1"/>
  <c r="F109" i="1"/>
  <c r="F110" i="1"/>
  <c r="F68" i="1"/>
  <c r="J245" i="1" l="1"/>
  <c r="I245" i="1"/>
  <c r="H245" i="1"/>
  <c r="J243" i="1"/>
  <c r="I243" i="1"/>
  <c r="H243" i="1"/>
  <c r="K241" i="1"/>
  <c r="I241" i="1"/>
  <c r="H241" i="1"/>
  <c r="I239" i="1"/>
  <c r="H239" i="1"/>
  <c r="G239" i="1"/>
  <c r="F239" i="1"/>
  <c r="I238" i="1"/>
  <c r="H238" i="1"/>
  <c r="G238" i="1"/>
  <c r="F238" i="1"/>
  <c r="K236" i="1"/>
  <c r="I236" i="1"/>
  <c r="H236" i="1"/>
  <c r="G236" i="1"/>
  <c r="F236" i="1"/>
  <c r="H235" i="1"/>
  <c r="K234" i="1"/>
  <c r="J234" i="1"/>
  <c r="I234" i="1"/>
  <c r="H234" i="1"/>
  <c r="G234" i="1"/>
  <c r="F234" i="1"/>
  <c r="I233" i="1"/>
  <c r="K233" i="1"/>
  <c r="J233" i="1"/>
  <c r="H233" i="1"/>
  <c r="G233" i="1"/>
  <c r="F233" i="1"/>
  <c r="J227" i="1"/>
  <c r="I227" i="1"/>
  <c r="H227" i="1"/>
  <c r="J225" i="1"/>
  <c r="I225" i="1"/>
  <c r="H225" i="1"/>
  <c r="K223" i="1"/>
  <c r="I223" i="1"/>
  <c r="H223" i="1"/>
  <c r="I221" i="1"/>
  <c r="G221" i="1"/>
  <c r="F221" i="1"/>
  <c r="I220" i="1"/>
  <c r="H220" i="1"/>
  <c r="G220" i="1"/>
  <c r="F220" i="1"/>
  <c r="I218" i="1"/>
  <c r="H218" i="1"/>
  <c r="G218" i="1"/>
  <c r="F218" i="1"/>
  <c r="H217" i="1"/>
  <c r="K216" i="1"/>
  <c r="J216" i="1"/>
  <c r="I216" i="1"/>
  <c r="H216" i="1"/>
  <c r="G216" i="1"/>
  <c r="F216" i="1"/>
  <c r="K215" i="1"/>
  <c r="J215" i="1"/>
  <c r="H215" i="1"/>
  <c r="I215" i="1"/>
  <c r="G215" i="1"/>
  <c r="F215" i="1"/>
  <c r="J209" i="1"/>
  <c r="I209" i="1"/>
  <c r="H209" i="1"/>
  <c r="J207" i="1"/>
  <c r="I207" i="1"/>
  <c r="H207" i="1"/>
  <c r="K205" i="1"/>
  <c r="I205" i="1"/>
  <c r="H205" i="1"/>
  <c r="G205" i="1"/>
  <c r="F205" i="1"/>
  <c r="I203" i="1"/>
  <c r="H203" i="1"/>
  <c r="G203" i="1"/>
  <c r="F203" i="1"/>
  <c r="I202" i="1"/>
  <c r="H202" i="1"/>
  <c r="G202" i="1"/>
  <c r="F202" i="1"/>
  <c r="G200" i="1"/>
  <c r="F200" i="1"/>
  <c r="K198" i="1"/>
  <c r="J198" i="1"/>
  <c r="I198" i="1"/>
  <c r="H198" i="1"/>
  <c r="G198" i="1"/>
  <c r="F198" i="1"/>
  <c r="I197" i="1"/>
  <c r="H197" i="1"/>
  <c r="G197" i="1"/>
  <c r="H613" i="1" l="1"/>
  <c r="H612" i="1"/>
  <c r="H611" i="1"/>
  <c r="I604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H367" i="1"/>
  <c r="G367" i="1"/>
  <c r="F367" i="1"/>
  <c r="G158" i="1" l="1"/>
  <c r="G97" i="1"/>
  <c r="G30" i="1"/>
  <c r="G40" i="1" l="1"/>
  <c r="G14" i="1"/>
  <c r="G9" i="1"/>
  <c r="K245" i="1" l="1"/>
  <c r="G245" i="1"/>
  <c r="F245" i="1"/>
  <c r="K243" i="1"/>
  <c r="K242" i="1"/>
  <c r="J242" i="1"/>
  <c r="I242" i="1"/>
  <c r="H242" i="1"/>
  <c r="G242" i="1"/>
  <c r="F242" i="1"/>
  <c r="K240" i="1"/>
  <c r="I240" i="1"/>
  <c r="H240" i="1"/>
  <c r="G240" i="1"/>
  <c r="F240" i="1"/>
  <c r="K227" i="1"/>
  <c r="G227" i="1"/>
  <c r="F227" i="1"/>
  <c r="K225" i="1"/>
  <c r="K224" i="1"/>
  <c r="J224" i="1"/>
  <c r="I224" i="1"/>
  <c r="G224" i="1"/>
  <c r="F224" i="1"/>
  <c r="K222" i="1"/>
  <c r="I222" i="1"/>
  <c r="H222" i="1"/>
  <c r="G222" i="1"/>
  <c r="F222" i="1"/>
  <c r="H221" i="1"/>
  <c r="K207" i="1"/>
  <c r="K206" i="1"/>
  <c r="J206" i="1"/>
  <c r="I206" i="1"/>
  <c r="H206" i="1"/>
  <c r="G206" i="1"/>
  <c r="F206" i="1"/>
  <c r="K204" i="1"/>
  <c r="I204" i="1"/>
  <c r="H204" i="1"/>
  <c r="G204" i="1"/>
  <c r="F204" i="1"/>
  <c r="K197" i="1"/>
  <c r="H244" i="1"/>
  <c r="G244" i="1"/>
  <c r="F244" i="1"/>
  <c r="H226" i="1"/>
  <c r="G226" i="1"/>
  <c r="F226" i="1"/>
  <c r="H208" i="1"/>
  <c r="G208" i="1"/>
  <c r="F208" i="1"/>
  <c r="J592" i="1"/>
  <c r="I592" i="1"/>
  <c r="H592" i="1"/>
  <c r="J591" i="1"/>
  <c r="I591" i="1"/>
  <c r="H591" i="1"/>
  <c r="J595" i="1"/>
  <c r="I59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C113" i="2" s="1"/>
  <c r="L332" i="1"/>
  <c r="E113" i="2" s="1"/>
  <c r="L254" i="1"/>
  <c r="L268" i="1"/>
  <c r="L269" i="1"/>
  <c r="C143" i="2" s="1"/>
  <c r="L349" i="1"/>
  <c r="L350" i="1"/>
  <c r="I665" i="1"/>
  <c r="I670" i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4" i="2"/>
  <c r="D115" i="2"/>
  <c r="F115" i="2"/>
  <c r="G115" i="2"/>
  <c r="C119" i="2"/>
  <c r="E120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F470" i="1"/>
  <c r="G470" i="1"/>
  <c r="H470" i="1"/>
  <c r="H476" i="1" s="1"/>
  <c r="H624" i="1" s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52" i="1"/>
  <c r="H652" i="1"/>
  <c r="G653" i="1"/>
  <c r="H653" i="1"/>
  <c r="G654" i="1"/>
  <c r="H654" i="1"/>
  <c r="H655" i="1"/>
  <c r="J655" i="1" s="1"/>
  <c r="A31" i="12"/>
  <c r="C91" i="2"/>
  <c r="C78" i="2"/>
  <c r="D50" i="2"/>
  <c r="D91" i="2"/>
  <c r="G62" i="2"/>
  <c r="D19" i="13"/>
  <c r="C19" i="13" s="1"/>
  <c r="E78" i="2"/>
  <c r="K605" i="1"/>
  <c r="G648" i="1" s="1"/>
  <c r="I169" i="1"/>
  <c r="J140" i="1"/>
  <c r="G22" i="2"/>
  <c r="J552" i="1"/>
  <c r="H140" i="1"/>
  <c r="H192" i="1"/>
  <c r="L570" i="1"/>
  <c r="G36" i="2"/>
  <c r="L565" i="1" l="1"/>
  <c r="H571" i="1"/>
  <c r="F571" i="1"/>
  <c r="J640" i="1"/>
  <c r="F192" i="1"/>
  <c r="J476" i="1"/>
  <c r="H626" i="1" s="1"/>
  <c r="H52" i="1"/>
  <c r="H619" i="1" s="1"/>
  <c r="E31" i="2"/>
  <c r="K338" i="1"/>
  <c r="L328" i="1"/>
  <c r="E110" i="2"/>
  <c r="E119" i="2"/>
  <c r="E112" i="2"/>
  <c r="C11" i="10"/>
  <c r="G338" i="1"/>
  <c r="G352" i="1" s="1"/>
  <c r="F338" i="1"/>
  <c r="F352" i="1" s="1"/>
  <c r="H338" i="1"/>
  <c r="H352" i="1" s="1"/>
  <c r="L256" i="1"/>
  <c r="H112" i="1"/>
  <c r="H193" i="1" s="1"/>
  <c r="G629" i="1" s="1"/>
  <c r="J629" i="1" s="1"/>
  <c r="J643" i="1"/>
  <c r="I571" i="1"/>
  <c r="J571" i="1"/>
  <c r="K571" i="1"/>
  <c r="L560" i="1"/>
  <c r="G112" i="1"/>
  <c r="J624" i="1"/>
  <c r="F18" i="2"/>
  <c r="L309" i="1"/>
  <c r="E118" i="2"/>
  <c r="G645" i="1"/>
  <c r="J645" i="1" s="1"/>
  <c r="K500" i="1"/>
  <c r="I460" i="1"/>
  <c r="I452" i="1"/>
  <c r="I446" i="1"/>
  <c r="G642" i="1" s="1"/>
  <c r="L433" i="1"/>
  <c r="J644" i="1"/>
  <c r="G164" i="2"/>
  <c r="G156" i="2"/>
  <c r="D18" i="2"/>
  <c r="J651" i="1"/>
  <c r="E122" i="2"/>
  <c r="L290" i="1"/>
  <c r="F22" i="13"/>
  <c r="C22" i="13" s="1"/>
  <c r="J641" i="1"/>
  <c r="G624" i="1"/>
  <c r="J545" i="1"/>
  <c r="G476" i="1"/>
  <c r="H623" i="1" s="1"/>
  <c r="J623" i="1" s="1"/>
  <c r="L427" i="1"/>
  <c r="L434" i="1" s="1"/>
  <c r="G638" i="1" s="1"/>
  <c r="J638" i="1" s="1"/>
  <c r="G192" i="1"/>
  <c r="I52" i="1"/>
  <c r="H620" i="1" s="1"/>
  <c r="G157" i="2"/>
  <c r="E103" i="2"/>
  <c r="C26" i="10"/>
  <c r="G662" i="1"/>
  <c r="L534" i="1"/>
  <c r="H552" i="1"/>
  <c r="F552" i="1"/>
  <c r="K550" i="1"/>
  <c r="L544" i="1"/>
  <c r="G552" i="1"/>
  <c r="H545" i="1"/>
  <c r="I545" i="1"/>
  <c r="L524" i="1"/>
  <c r="K551" i="1"/>
  <c r="K545" i="1"/>
  <c r="G545" i="1"/>
  <c r="K549" i="1"/>
  <c r="F476" i="1"/>
  <c r="H622" i="1" s="1"/>
  <c r="J622" i="1" s="1"/>
  <c r="C70" i="2"/>
  <c r="F112" i="1"/>
  <c r="J617" i="1"/>
  <c r="C18" i="2"/>
  <c r="C16" i="10"/>
  <c r="A40" i="12"/>
  <c r="C12" i="10"/>
  <c r="C110" i="2"/>
  <c r="D12" i="13"/>
  <c r="C12" i="13" s="1"/>
  <c r="J634" i="1"/>
  <c r="D29" i="13"/>
  <c r="C29" i="13" s="1"/>
  <c r="G661" i="1"/>
  <c r="L362" i="1"/>
  <c r="C27" i="10" s="1"/>
  <c r="D31" i="2"/>
  <c r="D51" i="2" s="1"/>
  <c r="C132" i="2"/>
  <c r="L270" i="1"/>
  <c r="C125" i="2"/>
  <c r="C121" i="2"/>
  <c r="L247" i="1"/>
  <c r="C112" i="2"/>
  <c r="C109" i="2"/>
  <c r="C123" i="2"/>
  <c r="C20" i="10"/>
  <c r="E13" i="13"/>
  <c r="C13" i="13" s="1"/>
  <c r="C118" i="2"/>
  <c r="L229" i="1"/>
  <c r="C13" i="10"/>
  <c r="J257" i="1"/>
  <c r="J271" i="1" s="1"/>
  <c r="I257" i="1"/>
  <c r="I271" i="1" s="1"/>
  <c r="D5" i="13"/>
  <c r="C5" i="13" s="1"/>
  <c r="L211" i="1"/>
  <c r="E16" i="13"/>
  <c r="C16" i="13" s="1"/>
  <c r="C17" i="10"/>
  <c r="K257" i="1"/>
  <c r="K271" i="1" s="1"/>
  <c r="D7" i="13"/>
  <c r="C7" i="13" s="1"/>
  <c r="F257" i="1"/>
  <c r="F271" i="1" s="1"/>
  <c r="A13" i="12"/>
  <c r="H257" i="1"/>
  <c r="H271" i="1" s="1"/>
  <c r="G650" i="1"/>
  <c r="J650" i="1" s="1"/>
  <c r="G257" i="1"/>
  <c r="G271" i="1" s="1"/>
  <c r="K598" i="1"/>
  <c r="G647" i="1" s="1"/>
  <c r="E109" i="2"/>
  <c r="C62" i="2"/>
  <c r="F661" i="1"/>
  <c r="C19" i="10"/>
  <c r="C15" i="10"/>
  <c r="C10" i="10"/>
  <c r="C81" i="2"/>
  <c r="L539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2" i="2"/>
  <c r="C120" i="2"/>
  <c r="C111" i="2"/>
  <c r="C56" i="2"/>
  <c r="F662" i="1"/>
  <c r="I662" i="1" s="1"/>
  <c r="C18" i="10"/>
  <c r="E8" i="13"/>
  <c r="C8" i="13" s="1"/>
  <c r="K503" i="1"/>
  <c r="L382" i="1"/>
  <c r="G636" i="1" s="1"/>
  <c r="J636" i="1" s="1"/>
  <c r="K352" i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36" i="10" l="1"/>
  <c r="E51" i="2"/>
  <c r="E115" i="2"/>
  <c r="H660" i="1"/>
  <c r="H664" i="1" s="1"/>
  <c r="H667" i="1" s="1"/>
  <c r="E128" i="2"/>
  <c r="D31" i="13"/>
  <c r="C31" i="13" s="1"/>
  <c r="L338" i="1"/>
  <c r="L352" i="1" s="1"/>
  <c r="G633" i="1" s="1"/>
  <c r="J633" i="1" s="1"/>
  <c r="F660" i="1"/>
  <c r="F664" i="1" s="1"/>
  <c r="F667" i="1" s="1"/>
  <c r="C144" i="2"/>
  <c r="G660" i="1"/>
  <c r="G664" i="1" s="1"/>
  <c r="G672" i="1" s="1"/>
  <c r="C5" i="10" s="1"/>
  <c r="E104" i="2"/>
  <c r="H646" i="1"/>
  <c r="J646" i="1" s="1"/>
  <c r="G104" i="2"/>
  <c r="I461" i="1"/>
  <c r="H642" i="1" s="1"/>
  <c r="J642" i="1" s="1"/>
  <c r="L545" i="1"/>
  <c r="K552" i="1"/>
  <c r="G635" i="1"/>
  <c r="J635" i="1" s="1"/>
  <c r="I661" i="1"/>
  <c r="C115" i="2"/>
  <c r="H648" i="1"/>
  <c r="J648" i="1" s="1"/>
  <c r="L257" i="1"/>
  <c r="L271" i="1" s="1"/>
  <c r="G632" i="1" s="1"/>
  <c r="J632" i="1" s="1"/>
  <c r="C28" i="10"/>
  <c r="D24" i="10" s="1"/>
  <c r="C128" i="2"/>
  <c r="J647" i="1"/>
  <c r="E33" i="13"/>
  <c r="D35" i="13" s="1"/>
  <c r="C25" i="13"/>
  <c r="H33" i="13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72" i="1"/>
  <c r="C6" i="10" s="1"/>
  <c r="D33" i="13"/>
  <c r="D36" i="13" s="1"/>
  <c r="I660" i="1"/>
  <c r="I664" i="1" s="1"/>
  <c r="I672" i="1" s="1"/>
  <c r="C7" i="10" s="1"/>
  <c r="G667" i="1"/>
  <c r="C145" i="2"/>
  <c r="F672" i="1"/>
  <c r="C4" i="10" s="1"/>
  <c r="D23" i="10"/>
  <c r="D10" i="10"/>
  <c r="D20" i="10"/>
  <c r="C30" i="10"/>
  <c r="D25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<sst xmlns="http://schemas.openxmlformats.org/spreadsheetml/2006/main" count="3954" uniqueCount="912">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</sst>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335</v>
      </c>
      <c r="C2" s="21">
        <v>335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200+806995.67+2641.67+5513025.17+278.5-0.2</f>
        <v>6323140.8099999996</v>
      </c>
      <c r="G9" s="18">
        <f>137022.84+50</f>
        <v>137072.84</v>
      </c>
      <c r="H9" s="18">
        <v>1400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1210191.8799999999</v>
      </c>
      <c r="G12" s="18"/>
      <c r="H12" s="18"/>
      <c r="I12" s="18"/>
      <c r="J12" s="67">
        <f>SUM(I441)</f>
        <v>1618576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16668087.84</v>
      </c>
      <c r="G13" s="18">
        <v>689717.75</v>
      </c>
      <c r="H13" s="18">
        <v>65522.85</v>
      </c>
      <c r="I13" s="18"/>
      <c r="J13" s="67">
        <f>SUM(I442)</f>
        <v>1849741.66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940743.74</v>
      </c>
      <c r="G14" s="18">
        <f>2237.08+23017.16+3837.32+594.7</f>
        <v>29686.26</v>
      </c>
      <c r="H14" s="18">
        <v>3913460.44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29291.81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28729.599999999999</v>
      </c>
      <c r="G17" s="18"/>
      <c r="H17" s="18">
        <v>408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25170893.870000001</v>
      </c>
      <c r="G19" s="41">
        <f>SUM(G9:G18)</f>
        <v>885768.66</v>
      </c>
      <c r="H19" s="41">
        <f>SUM(H9:H18)</f>
        <v>3980791.29</v>
      </c>
      <c r="I19" s="41">
        <f>SUM(I9:I18)</f>
        <v>0</v>
      </c>
      <c r="J19" s="41">
        <f>SUM(J9:J18)</f>
        <v>3468317.66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598286.06999999995</v>
      </c>
      <c r="H22" s="18">
        <v>2230481.81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826529.6</v>
      </c>
      <c r="G24" s="18">
        <v>53590.239999999998</v>
      </c>
      <c r="H24" s="18">
        <v>144307.29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2909245.94</v>
      </c>
      <c r="G28" s="18">
        <v>16410.810000000001</v>
      </c>
      <c r="H28" s="18">
        <v>493277.11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113607.02+40643.16+36090.88+1233991.11+7665.72+29490.36+1374.13+3742.55</f>
        <v>1466604.9300000002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19018907.079999998</v>
      </c>
      <c r="G30" s="18">
        <f>28480.73+9411.41+11118.74</f>
        <v>49010.879999999997</v>
      </c>
      <c r="H30" s="18">
        <v>27650.52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24221287.549999997</v>
      </c>
      <c r="G32" s="41">
        <f>SUM(G22:G31)</f>
        <v>717298</v>
      </c>
      <c r="H32" s="41">
        <f>SUM(H22:H31)</f>
        <v>2895716.73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29291.81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28729.599999999999</v>
      </c>
      <c r="G36" s="18"/>
      <c r="H36" s="18">
        <v>408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137022.84+2156.01</f>
        <v>139178.85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793094.59</f>
        <v>793094.59</v>
      </c>
      <c r="G48" s="18"/>
      <c r="H48" s="18">
        <v>1084666.56</v>
      </c>
      <c r="I48" s="18"/>
      <c r="J48" s="13">
        <f>SUM(I459)</f>
        <v>3468317.66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127782.34-0.21</f>
        <v>127782.12999999999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949606.32</v>
      </c>
      <c r="G51" s="41">
        <f>SUM(G35:G50)</f>
        <v>168470.66</v>
      </c>
      <c r="H51" s="41">
        <f>SUM(H35:H50)</f>
        <v>1085074.56</v>
      </c>
      <c r="I51" s="41">
        <f>SUM(I35:I50)</f>
        <v>0</v>
      </c>
      <c r="J51" s="41">
        <f>SUM(J35:J50)</f>
        <v>3468317.66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25170893.869999997</v>
      </c>
      <c r="G52" s="41">
        <f>G51+G32</f>
        <v>885768.66</v>
      </c>
      <c r="H52" s="41">
        <f>H51+H32</f>
        <v>3980791.29</v>
      </c>
      <c r="I52" s="41">
        <f>I51+I32</f>
        <v>0</v>
      </c>
      <c r="J52" s="41">
        <f>J51+J32</f>
        <v>3468317.66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68037670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>
        <v>554095.69999999995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68037670</v>
      </c>
      <c r="G60" s="41">
        <f>SUM(G57:G59)</f>
        <v>0</v>
      </c>
      <c r="H60" s="41">
        <f>SUM(H57:H59)</f>
        <v>554095.69999999995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15548.09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36965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52323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38207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5007015.16+1216798.1</f>
        <v>6223813.2599999998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1517553.63</v>
      </c>
      <c r="G69" s="24" t="s">
        <v>289</v>
      </c>
      <c r="H69" s="18">
        <v>3418079.87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241696.39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7998611.3699999992</v>
      </c>
      <c r="G79" s="45" t="s">
        <v>289</v>
      </c>
      <c r="H79" s="41">
        <f>SUM(H63:H78)</f>
        <v>3545574.87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144177.09</v>
      </c>
      <c r="G96" s="18"/>
      <c r="H96" s="18"/>
      <c r="I96" s="18"/>
      <c r="J96" s="18">
        <v>9059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619607.27+38338.4+347485.59-11.06+17001.32+98</f>
        <v>1022519.5199999999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45494.84</v>
      </c>
      <c r="G98" s="24" t="s">
        <v>289</v>
      </c>
      <c r="H98" s="18">
        <v>52364.2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13451.31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274913.48+198602.82+70</f>
        <v>473586.3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55449.22+5892</f>
        <v>61341.22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11648.58+555000</f>
        <v>566648.57999999996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831113.03999999992</v>
      </c>
      <c r="G111" s="41">
        <f>SUM(G96:G110)</f>
        <v>1022519.5199999999</v>
      </c>
      <c r="H111" s="41">
        <f>SUM(H96:H110)</f>
        <v>525950.5</v>
      </c>
      <c r="I111" s="41">
        <f>SUM(I96:I110)</f>
        <v>0</v>
      </c>
      <c r="J111" s="41">
        <f>SUM(J96:J110)</f>
        <v>9059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76867394.410000011</v>
      </c>
      <c r="G112" s="41">
        <f>G60+G111</f>
        <v>1022519.5199999999</v>
      </c>
      <c r="H112" s="41">
        <f>H60+H79+H94+H111</f>
        <v>4625621.07</v>
      </c>
      <c r="I112" s="41">
        <f>I60+I111</f>
        <v>0</v>
      </c>
      <c r="J112" s="41">
        <f>J60+J111</f>
        <v>9059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56699577.189999998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19703889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76403466.189999998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2611296.64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538021.98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674163.55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78775.37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3823482.17</v>
      </c>
      <c r="G136" s="41">
        <f>SUM(G123:G135)</f>
        <v>78775.37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80226948.359999999</v>
      </c>
      <c r="G140" s="41">
        <f>G121+SUM(G136:G137)</f>
        <v>78775.37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319467.18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319467.18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7869235.3799999999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3084915.18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626062.98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501346.31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3721617.05+123200.57</f>
        <v>3844817.6199999996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3873814.03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1512500.35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72701.48</v>
      </c>
      <c r="G161" s="18"/>
      <c r="H161" s="18">
        <f>293599.96+126502.65</f>
        <v>420102.61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1585201.83</v>
      </c>
      <c r="G162" s="41">
        <f>SUM(G150:G161)</f>
        <v>3844817.6199999996</v>
      </c>
      <c r="H162" s="41">
        <f>SUM(H150:H161)</f>
        <v>16375476.49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1585201.83</v>
      </c>
      <c r="G169" s="41">
        <f>G147+G162+SUM(G163:G168)</f>
        <v>4164284.8</v>
      </c>
      <c r="H169" s="41">
        <f>H147+H162+SUM(H163:H168)</f>
        <v>16375476.49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f>40930+2051506</f>
        <v>2092436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229263.07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229263.07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2092436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473860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473860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703123.07000000007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2092436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159382667.67000002</v>
      </c>
      <c r="G193" s="47">
        <f>G112+G140+G169+G192</f>
        <v>5265579.6899999995</v>
      </c>
      <c r="H193" s="47">
        <f>H112+H140+H169+H192</f>
        <v>21001097.560000002</v>
      </c>
      <c r="I193" s="47">
        <f>I112+I140+I169+I192</f>
        <v>0</v>
      </c>
      <c r="J193" s="47">
        <f>J112+J140+J192</f>
        <v>2101495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4882.66+19337995.73-0.01</f>
        <v>19342878.379999999</v>
      </c>
      <c r="G197" s="18">
        <f>-1397132.02+10260380.45</f>
        <v>8863248.4299999997</v>
      </c>
      <c r="H197" s="18">
        <f>960.69+8047.34+241.5+39350.62+15975.68+7084.09+6301.25+627.48</f>
        <v>78588.649999999994</v>
      </c>
      <c r="I197" s="18">
        <f>151329.14+83056.78</f>
        <v>234385.92000000001</v>
      </c>
      <c r="J197" s="18"/>
      <c r="K197" s="18">
        <f>175</f>
        <v>175</v>
      </c>
      <c r="L197" s="19">
        <f>SUM(F197:K197)</f>
        <v>28519276.379999999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158209.77+8226493.78</f>
        <v>8384703.5499999998</v>
      </c>
      <c r="G198" s="18">
        <f>-298034.33+5580776.49</f>
        <v>5282742.16</v>
      </c>
      <c r="H198" s="18">
        <f>205534.98+481653.78+1145.68+358+1126207.33+2864.88</f>
        <v>1817764.65</v>
      </c>
      <c r="I198" s="18">
        <f>37577.55+103663.26+28315.72</f>
        <v>169556.53</v>
      </c>
      <c r="J198" s="18">
        <f>1631.92+17668</f>
        <v>19299.919999999998</v>
      </c>
      <c r="K198" s="18">
        <f>955.04+365.45</f>
        <v>1320.49</v>
      </c>
      <c r="L198" s="19">
        <f>SUM(F198:K198)</f>
        <v>15675387.300000001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350+29017.11</f>
        <v>29367.11</v>
      </c>
      <c r="G200" s="18">
        <f>4830.67</f>
        <v>4830.67</v>
      </c>
      <c r="H200" s="18"/>
      <c r="I200" s="18">
        <v>1426.85</v>
      </c>
      <c r="J200" s="18"/>
      <c r="K200" s="18">
        <v>100000</v>
      </c>
      <c r="L200" s="19">
        <f>SUM(F200:K200)</f>
        <v>135624.63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93988.45+2455959.37</f>
        <v>2549947.8200000003</v>
      </c>
      <c r="G202" s="18">
        <f>56961.66+1294681.18</f>
        <v>1351642.8399999999</v>
      </c>
      <c r="H202" s="18">
        <f>836700.78+246391.22+335.2+908.3</f>
        <v>1084335.5</v>
      </c>
      <c r="I202" s="18">
        <f>218.75+4955.74</f>
        <v>5174.49</v>
      </c>
      <c r="J202" s="18">
        <v>1437</v>
      </c>
      <c r="K202" s="18"/>
      <c r="L202" s="19">
        <f t="shared" ref="L202:L208" si="0">SUM(F202:K202)</f>
        <v>4992537.6500000004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5041.49+816807.48</f>
        <v>821848.97</v>
      </c>
      <c r="G203" s="18">
        <f>4577.17+420327.74+39560.28+37656.73</f>
        <v>502121.91999999993</v>
      </c>
      <c r="H203" s="18">
        <f>128.41+150.35</f>
        <v>278.76</v>
      </c>
      <c r="I203" s="18">
        <f>1389.08+865.91+406.5+147.75</f>
        <v>2809.24</v>
      </c>
      <c r="J203" s="18"/>
      <c r="K203" s="18"/>
      <c r="L203" s="19">
        <f t="shared" si="0"/>
        <v>1327058.8899999999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376802.54</f>
        <v>376802.54</v>
      </c>
      <c r="G204" s="18">
        <f>162569.25</f>
        <v>162569.25</v>
      </c>
      <c r="H204" s="18">
        <f>90454.23</f>
        <v>90454.23</v>
      </c>
      <c r="I204" s="18">
        <f>1555.61</f>
        <v>1555.61</v>
      </c>
      <c r="J204" s="18"/>
      <c r="K204" s="18">
        <f>3035.94</f>
        <v>3035.94</v>
      </c>
      <c r="L204" s="19">
        <f t="shared" si="0"/>
        <v>634417.56999999995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3010811.78</f>
        <v>3010811.78</v>
      </c>
      <c r="G205" s="18">
        <f>1304673.78</f>
        <v>1304673.78</v>
      </c>
      <c r="H205" s="18">
        <f>8616.23+50839.46+190+315.25</f>
        <v>59960.94</v>
      </c>
      <c r="I205" s="18">
        <f>159.43+2036.63</f>
        <v>2196.06</v>
      </c>
      <c r="J205" s="18"/>
      <c r="K205" s="18">
        <f>9689</f>
        <v>9689</v>
      </c>
      <c r="L205" s="19">
        <f t="shared" si="0"/>
        <v>4387331.5599999996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238817.08</f>
        <v>238817.08</v>
      </c>
      <c r="G206" s="18">
        <f>133226.22</f>
        <v>133226.22</v>
      </c>
      <c r="H206" s="18">
        <f>79171.69</f>
        <v>79171.69</v>
      </c>
      <c r="I206" s="18">
        <f>3310.03</f>
        <v>3310.03</v>
      </c>
      <c r="J206" s="18">
        <f>1161.08</f>
        <v>1161.08</v>
      </c>
      <c r="K206" s="18">
        <f>98</f>
        <v>98</v>
      </c>
      <c r="L206" s="19">
        <f t="shared" si="0"/>
        <v>455784.10000000003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>
        <f>1390928.45+44168.15+39048.28+50855.23+41840.79</f>
        <v>1566840.9</v>
      </c>
      <c r="I207" s="18">
        <f>9779.94+3083.25+323864.79+415926.39</f>
        <v>752654.37</v>
      </c>
      <c r="J207" s="18">
        <f>8174.25+5517+2111.5</f>
        <v>15802.75</v>
      </c>
      <c r="K207" s="18">
        <f>77</f>
        <v>77</v>
      </c>
      <c r="L207" s="19">
        <f t="shared" si="0"/>
        <v>2335375.02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9625.8+11868.49</f>
        <v>21494.29</v>
      </c>
      <c r="G208" s="18">
        <f>3694.31+4555.04</f>
        <v>8249.35</v>
      </c>
      <c r="H208" s="18">
        <f>1069527.98+1318714.82+3369.81</f>
        <v>2391612.61</v>
      </c>
      <c r="I208" s="18"/>
      <c r="J208" s="18"/>
      <c r="K208" s="18"/>
      <c r="L208" s="19">
        <f t="shared" si="0"/>
        <v>2421356.25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250957.07</v>
      </c>
      <c r="G209" s="18">
        <v>129080.14</v>
      </c>
      <c r="H209" s="18">
        <f>182057.72+1704.9+15220.5</f>
        <v>198983.12</v>
      </c>
      <c r="I209" s="18">
        <f>36774.67+14000</f>
        <v>50774.67</v>
      </c>
      <c r="J209" s="18">
        <f>16583.54+97210.07</f>
        <v>113793.61000000002</v>
      </c>
      <c r="K209" s="18">
        <v>36.049999999999997</v>
      </c>
      <c r="L209" s="19">
        <f>SUM(F209:K209)</f>
        <v>743624.66000000015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35027628.589999996</v>
      </c>
      <c r="G211" s="41">
        <f t="shared" si="1"/>
        <v>17742384.760000002</v>
      </c>
      <c r="H211" s="41">
        <f t="shared" si="1"/>
        <v>7367991.0499999998</v>
      </c>
      <c r="I211" s="41">
        <f t="shared" si="1"/>
        <v>1223843.77</v>
      </c>
      <c r="J211" s="41">
        <f t="shared" si="1"/>
        <v>151494.36000000002</v>
      </c>
      <c r="K211" s="41">
        <f t="shared" si="1"/>
        <v>114431.48000000001</v>
      </c>
      <c r="L211" s="41">
        <f t="shared" si="1"/>
        <v>61627774.010000005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2929.59+9945662.66</f>
        <v>9948592.25</v>
      </c>
      <c r="G215" s="18">
        <f>-955932.43+5503212.65</f>
        <v>4547280.2200000007</v>
      </c>
      <c r="H215" s="18">
        <f>576.41+523.76+425+30979.91+2237.5+3937.49+6530.27+150.94</f>
        <v>45361.279999999999</v>
      </c>
      <c r="I215" s="18">
        <f>62752.89+29486.54</f>
        <v>92239.43</v>
      </c>
      <c r="J215" s="18">
        <f>-57</f>
        <v>-57</v>
      </c>
      <c r="K215" s="18">
        <f>105+200</f>
        <v>305</v>
      </c>
      <c r="L215" s="19">
        <f>SUM(F215:K215)</f>
        <v>14633721.18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94925.86+4028441.56</f>
        <v>4123367.42</v>
      </c>
      <c r="G216" s="18">
        <f>-178820.6+2678235.26</f>
        <v>2499414.6599999997</v>
      </c>
      <c r="H216" s="18">
        <f>123320.99+147121.18+1307503.41+1097.23</f>
        <v>1579042.8099999998</v>
      </c>
      <c r="I216" s="18">
        <f>22546.53+17541.66+1360.09</f>
        <v>41448.28</v>
      </c>
      <c r="J216" s="18">
        <f>979.15+797.96</f>
        <v>1777.1100000000001</v>
      </c>
      <c r="K216" s="18">
        <f>573.02+12</f>
        <v>585.02</v>
      </c>
      <c r="L216" s="19">
        <f>SUM(F216:K216)</f>
        <v>8245635.2999999998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377213.98</v>
      </c>
      <c r="G217" s="18">
        <v>233525.09</v>
      </c>
      <c r="H217" s="18">
        <f>6356.84+296.67</f>
        <v>6653.51</v>
      </c>
      <c r="I217" s="18"/>
      <c r="J217" s="18"/>
      <c r="K217" s="18"/>
      <c r="L217" s="19">
        <f>SUM(F217:K217)</f>
        <v>617392.57999999996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210+7922.54+173627.36</f>
        <v>181759.9</v>
      </c>
      <c r="G218" s="18">
        <f>2378.84+36531.9</f>
        <v>38910.740000000005</v>
      </c>
      <c r="H218" s="18">
        <f>22576.65+14995</f>
        <v>37571.65</v>
      </c>
      <c r="I218" s="18">
        <f>856.11+21.47+5826.35</f>
        <v>6703.93</v>
      </c>
      <c r="J218" s="18">
        <v>213.62</v>
      </c>
      <c r="K218" s="18">
        <v>335</v>
      </c>
      <c r="L218" s="19">
        <f>SUM(F218:K218)</f>
        <v>265494.84000000003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56393.07+1016909.31</f>
        <v>1073302.3800000001</v>
      </c>
      <c r="G220" s="18">
        <f>34177+459942.01</f>
        <v>494119.01</v>
      </c>
      <c r="H220" s="18">
        <f>502020.47+202211.61+948+506.05</f>
        <v>705686.13</v>
      </c>
      <c r="I220" s="18">
        <f>131.25+27.81</f>
        <v>159.06</v>
      </c>
      <c r="J220" s="18"/>
      <c r="K220" s="18"/>
      <c r="L220" s="19">
        <f t="shared" ref="L220:L226" si="2">SUM(F220:K220)</f>
        <v>2273266.58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3024.89+272716.94</f>
        <v>275741.83</v>
      </c>
      <c r="G221" s="18">
        <f>2746.3+109063.42+27273.05+14391.55</f>
        <v>153474.31999999998</v>
      </c>
      <c r="H221" s="18">
        <f>77.05</f>
        <v>77.05</v>
      </c>
      <c r="I221" s="18">
        <f>833.45+99.58+199.06+577.65</f>
        <v>1709.7400000000002</v>
      </c>
      <c r="J221" s="18"/>
      <c r="K221" s="18"/>
      <c r="L221" s="19">
        <f t="shared" si="2"/>
        <v>431002.94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226081.52</f>
        <v>226081.52</v>
      </c>
      <c r="G222" s="18">
        <f>97541.55</f>
        <v>97541.55</v>
      </c>
      <c r="H222" s="18">
        <f>54272.54</f>
        <v>54272.54</v>
      </c>
      <c r="I222" s="18">
        <f>933.37</f>
        <v>933.37</v>
      </c>
      <c r="J222" s="18"/>
      <c r="K222" s="18">
        <f>1821.56</f>
        <v>1821.56</v>
      </c>
      <c r="L222" s="19">
        <f t="shared" si="2"/>
        <v>380650.54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1374493.83</v>
      </c>
      <c r="G223" s="18">
        <v>643134.56000000006</v>
      </c>
      <c r="H223" s="18">
        <f>5169.74+22764.12</f>
        <v>27933.86</v>
      </c>
      <c r="I223" s="18">
        <f>95.66+295.15</f>
        <v>390.80999999999995</v>
      </c>
      <c r="J223" s="18"/>
      <c r="K223" s="18">
        <f>3825+278.25</f>
        <v>4103.25</v>
      </c>
      <c r="L223" s="19">
        <f t="shared" si="2"/>
        <v>2050056.3100000003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143290.25</f>
        <v>143290.25</v>
      </c>
      <c r="G224" s="18">
        <f>79935.73</f>
        <v>79935.73</v>
      </c>
      <c r="H224" s="18">
        <v>47503.02</v>
      </c>
      <c r="I224" s="18">
        <f>1986.02</f>
        <v>1986.02</v>
      </c>
      <c r="J224" s="18">
        <f>696.65</f>
        <v>696.65</v>
      </c>
      <c r="K224" s="18">
        <f>58.8</f>
        <v>58.8</v>
      </c>
      <c r="L224" s="19">
        <f t="shared" si="2"/>
        <v>273470.47000000003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>
        <f>1388365.91+13575.86+13612.14+14804.83+13212.15</f>
        <v>1443570.89</v>
      </c>
      <c r="I225" s="18">
        <f>5867.96+102.98+171232.13+277261.81</f>
        <v>454464.88</v>
      </c>
      <c r="J225" s="18">
        <f>4904.55+26385</f>
        <v>31289.55</v>
      </c>
      <c r="K225" s="18">
        <f>46.2</f>
        <v>46.2</v>
      </c>
      <c r="L225" s="19">
        <f t="shared" si="2"/>
        <v>1929371.52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9988.37+5322.52</f>
        <v>15310.890000000001</v>
      </c>
      <c r="G226" s="18">
        <f>3833.46+2042.74</f>
        <v>5876.2</v>
      </c>
      <c r="H226" s="18">
        <f>1110+13183.29+1109803.95+591383.52+2400.39</f>
        <v>1717881.15</v>
      </c>
      <c r="I226" s="18"/>
      <c r="J226" s="18"/>
      <c r="K226" s="18"/>
      <c r="L226" s="19">
        <f t="shared" si="2"/>
        <v>1739068.24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150574.24</f>
        <v>150574.24</v>
      </c>
      <c r="G227" s="18">
        <f>77448.08</f>
        <v>77448.08</v>
      </c>
      <c r="H227" s="18">
        <f>109234.63+1575+2850.99+3393</f>
        <v>117053.62000000001</v>
      </c>
      <c r="I227" s="18">
        <f>22064.8+4000</f>
        <v>26064.799999999999</v>
      </c>
      <c r="J227" s="18">
        <f>9950.12+43924.86</f>
        <v>53874.98</v>
      </c>
      <c r="K227" s="18">
        <f>21.63</f>
        <v>21.63</v>
      </c>
      <c r="L227" s="19">
        <f>SUM(F227:K227)</f>
        <v>425037.35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17889728.489999998</v>
      </c>
      <c r="G229" s="41">
        <f>SUM(G215:G228)</f>
        <v>8870660.1600000001</v>
      </c>
      <c r="H229" s="41">
        <f>SUM(H215:H228)</f>
        <v>5782607.5099999988</v>
      </c>
      <c r="I229" s="41">
        <f>SUM(I215:I228)</f>
        <v>626100.32000000007</v>
      </c>
      <c r="J229" s="41">
        <f>SUM(J215:J228)</f>
        <v>87794.91</v>
      </c>
      <c r="K229" s="41">
        <f t="shared" si="3"/>
        <v>7276.46</v>
      </c>
      <c r="L229" s="41">
        <f t="shared" si="3"/>
        <v>33264167.849999994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6138.2+14154422.24</f>
        <v>14160560.439999999</v>
      </c>
      <c r="G233" s="18">
        <f>-1323598.75+7401006.64</f>
        <v>6077407.8899999997</v>
      </c>
      <c r="H233" s="18">
        <f>1207.73+4138.81+300+5762.57+19296.03+51408.74+5813.08+7713.29+32028+10344.19</f>
        <v>138012.44</v>
      </c>
      <c r="I233" s="18">
        <f>160491.63+1758.64+117573.09</f>
        <v>279823.35999999999</v>
      </c>
      <c r="J233" s="18">
        <f>-889.5</f>
        <v>-889.5</v>
      </c>
      <c r="K233" s="18">
        <f>220+20803</f>
        <v>21023</v>
      </c>
      <c r="L233" s="19">
        <f>SUM(F233:K233)</f>
        <v>20675937.629999999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198892.28+3519580.44</f>
        <v>3718472.7199999997</v>
      </c>
      <c r="G234" s="18">
        <f>-374671.73+2119792.06</f>
        <v>1745120.33</v>
      </c>
      <c r="H234" s="18">
        <f>258386.83+161420.68+344.31+563.7+3452800.94+750.01</f>
        <v>3874266.4699999997</v>
      </c>
      <c r="I234" s="18">
        <f>47240.34+22488.42+9590.49</f>
        <v>79319.25</v>
      </c>
      <c r="J234" s="18">
        <f>2051.56+6177.98</f>
        <v>8229.5399999999991</v>
      </c>
      <c r="K234" s="18">
        <f>1200.62+150</f>
        <v>1350.62</v>
      </c>
      <c r="L234" s="19">
        <f>SUM(F234:K234)</f>
        <v>9426758.9299999978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1991868.69</v>
      </c>
      <c r="G235" s="18">
        <v>1138434.58</v>
      </c>
      <c r="H235" s="18">
        <f>10852.41</f>
        <v>10852.41</v>
      </c>
      <c r="I235" s="18">
        <v>8964.7000000000007</v>
      </c>
      <c r="J235" s="18"/>
      <c r="K235" s="18"/>
      <c r="L235" s="19">
        <f>SUM(F235:K235)</f>
        <v>3150120.3800000004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440+64100.54+825431.63</f>
        <v>889972.17</v>
      </c>
      <c r="G236" s="18">
        <f>19246.96+214347.65</f>
        <v>233594.61</v>
      </c>
      <c r="H236" s="18">
        <f>182665.66+120670.62+1506.95+11237+6327.5+2524.66</f>
        <v>324932.39</v>
      </c>
      <c r="I236" s="18">
        <f>1793.75+173.69+62332.78+18716.05+42911.39</f>
        <v>125927.66</v>
      </c>
      <c r="J236" s="18">
        <v>51749.72</v>
      </c>
      <c r="K236" s="18">
        <f>59000+25720.97+32000</f>
        <v>116720.97</v>
      </c>
      <c r="L236" s="19">
        <f>SUM(F236:K236)</f>
        <v>1742897.5199999998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118156.9+1494443.77</f>
        <v>1612600.67</v>
      </c>
      <c r="G238" s="18">
        <f>71608.94+769898.16</f>
        <v>841507.10000000009</v>
      </c>
      <c r="H238" s="18">
        <f>1051852.41+99869.66+13295.26+173.95</f>
        <v>1165191.2799999998</v>
      </c>
      <c r="I238" s="18">
        <f>275+33.91</f>
        <v>308.90999999999997</v>
      </c>
      <c r="J238" s="18"/>
      <c r="K238" s="18"/>
      <c r="L238" s="19">
        <f t="shared" ref="L238:L244" si="4">SUM(F238:K238)</f>
        <v>3619607.96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6337.87+300577.06</f>
        <v>306914.93</v>
      </c>
      <c r="G239" s="18">
        <f>5754.16+161633.06+21041.97+19745.76</f>
        <v>208174.95</v>
      </c>
      <c r="H239" s="18">
        <f>161.43+1393</f>
        <v>1554.43</v>
      </c>
      <c r="I239" s="18">
        <f>1746.27+1218.96+16285.02+2846.42</f>
        <v>22096.67</v>
      </c>
      <c r="J239" s="18"/>
      <c r="K239" s="18"/>
      <c r="L239" s="19">
        <f t="shared" si="4"/>
        <v>538740.98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473694.62</f>
        <v>473694.62</v>
      </c>
      <c r="G240" s="18">
        <f>204372.77</f>
        <v>204372.77</v>
      </c>
      <c r="H240" s="18">
        <f>113713.89</f>
        <v>113713.89</v>
      </c>
      <c r="I240" s="18">
        <f>1955.62</f>
        <v>1955.62</v>
      </c>
      <c r="J240" s="18"/>
      <c r="K240" s="18">
        <f>3816.61</f>
        <v>3816.61</v>
      </c>
      <c r="L240" s="19">
        <f t="shared" si="4"/>
        <v>797553.51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2017089.13</v>
      </c>
      <c r="G241" s="18">
        <v>977927.29</v>
      </c>
      <c r="H241" s="18">
        <f>10831.83+1818.28+35288.44+2205.4+1944.63+260.9</f>
        <v>52349.48</v>
      </c>
      <c r="I241" s="18">
        <f>200.42+4931.47</f>
        <v>5131.8900000000003</v>
      </c>
      <c r="J241" s="18"/>
      <c r="K241" s="18">
        <f>23340+9920.2</f>
        <v>33260.199999999997</v>
      </c>
      <c r="L241" s="19">
        <f t="shared" si="4"/>
        <v>3085757.99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300227.19</f>
        <v>300227.19</v>
      </c>
      <c r="G242" s="18">
        <f>167484.39</f>
        <v>167484.39000000001</v>
      </c>
      <c r="H242" s="18">
        <f>99530.13</f>
        <v>99530.13</v>
      </c>
      <c r="I242" s="18">
        <f>4161.18</f>
        <v>4161.18</v>
      </c>
      <c r="J242" s="18">
        <f>1459.64</f>
        <v>1459.64</v>
      </c>
      <c r="K242" s="18">
        <f>123.2</f>
        <v>123.2</v>
      </c>
      <c r="L242" s="19">
        <f t="shared" si="4"/>
        <v>572985.73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>
        <f>4161619.991+28759.06+107490.42+158354.94+15019.57</f>
        <v>4471243.9810000006</v>
      </c>
      <c r="I243" s="18">
        <f>12294.78+138.97+264373.34+569634.19+680.52</f>
        <v>847121.8</v>
      </c>
      <c r="J243" s="18">
        <f>10276.2+14000+28755</f>
        <v>53031.199999999997</v>
      </c>
      <c r="K243" s="18">
        <f>96.8</f>
        <v>96.8</v>
      </c>
      <c r="L243" s="19">
        <f t="shared" si="4"/>
        <v>5371493.7810000004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3203.99+8578.33</f>
        <v>11782.32</v>
      </c>
      <c r="G244" s="18">
        <f>1229.67+3292.3</f>
        <v>4521.97</v>
      </c>
      <c r="H244" s="18">
        <f>4767.2+108547.96+355996.52+953142.44+6167.4</f>
        <v>1428621.52</v>
      </c>
      <c r="I244" s="18"/>
      <c r="J244" s="18"/>
      <c r="K244" s="18"/>
      <c r="L244" s="19">
        <f t="shared" si="4"/>
        <v>1444925.81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315488.89</f>
        <v>315488.89</v>
      </c>
      <c r="G245" s="18">
        <f>162272.18</f>
        <v>162272.18</v>
      </c>
      <c r="H245" s="18">
        <f>228872.56+2749+5213.15</f>
        <v>236834.71</v>
      </c>
      <c r="I245" s="18">
        <f>46231.02+249+3000</f>
        <v>49480.02</v>
      </c>
      <c r="J245" s="18">
        <f>20847.88+41426.09</f>
        <v>62273.97</v>
      </c>
      <c r="K245" s="18">
        <f>45.32</f>
        <v>45.32</v>
      </c>
      <c r="L245" s="19">
        <f>SUM(F245:K245)</f>
        <v>826395.09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25798671.770000007</v>
      </c>
      <c r="G247" s="41">
        <f t="shared" si="5"/>
        <v>11760818.060000001</v>
      </c>
      <c r="H247" s="41">
        <f t="shared" si="5"/>
        <v>11917103.131000001</v>
      </c>
      <c r="I247" s="41">
        <f t="shared" si="5"/>
        <v>1424291.06</v>
      </c>
      <c r="J247" s="41">
        <f t="shared" si="5"/>
        <v>175854.57</v>
      </c>
      <c r="K247" s="41">
        <f t="shared" si="5"/>
        <v>176436.71999999997</v>
      </c>
      <c r="L247" s="41">
        <f t="shared" si="5"/>
        <v>51253175.310999997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78716028.850000009</v>
      </c>
      <c r="G257" s="41">
        <f t="shared" si="8"/>
        <v>38373862.980000004</v>
      </c>
      <c r="H257" s="41">
        <f t="shared" si="8"/>
        <v>25067701.691</v>
      </c>
      <c r="I257" s="41">
        <f t="shared" si="8"/>
        <v>3274235.1500000004</v>
      </c>
      <c r="J257" s="41">
        <f t="shared" si="8"/>
        <v>415143.84</v>
      </c>
      <c r="K257" s="41">
        <f t="shared" si="8"/>
        <v>298144.65999999997</v>
      </c>
      <c r="L257" s="41">
        <f t="shared" si="8"/>
        <v>146145117.171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7296407.2000000002</v>
      </c>
      <c r="L260" s="19">
        <f>SUM(F260:K260)</f>
        <v>7296407.2000000002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4966731.6900000004</v>
      </c>
      <c r="L261" s="19">
        <f>SUM(F261:K261)</f>
        <v>4966731.6900000004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2092436</v>
      </c>
      <c r="L266" s="19">
        <f t="shared" si="9"/>
        <v>2092436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14355574.890000001</v>
      </c>
      <c r="L270" s="41">
        <f t="shared" si="9"/>
        <v>14355574.890000001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78716028.850000009</v>
      </c>
      <c r="G271" s="42">
        <f t="shared" si="11"/>
        <v>38373862.980000004</v>
      </c>
      <c r="H271" s="42">
        <f t="shared" si="11"/>
        <v>25067701.691</v>
      </c>
      <c r="I271" s="42">
        <f t="shared" si="11"/>
        <v>3274235.1500000004</v>
      </c>
      <c r="J271" s="42">
        <f t="shared" si="11"/>
        <v>415143.84</v>
      </c>
      <c r="K271" s="42">
        <f t="shared" si="11"/>
        <v>14653719.550000001</v>
      </c>
      <c r="L271" s="42">
        <f t="shared" si="11"/>
        <v>160500692.06099999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5672.38+726672.42</f>
        <v>732344.8</v>
      </c>
      <c r="G276" s="18">
        <f>5049.28+398705.14</f>
        <v>403754.42000000004</v>
      </c>
      <c r="H276" s="18">
        <f>4921.43+40441+18340.88</f>
        <v>63703.31</v>
      </c>
      <c r="I276" s="18">
        <f>4006.05+2034.68+4467.35</f>
        <v>10508.080000000002</v>
      </c>
      <c r="J276" s="18">
        <f>46734.7</f>
        <v>46734.7</v>
      </c>
      <c r="K276" s="18">
        <f>590.02+75</f>
        <v>665.02</v>
      </c>
      <c r="L276" s="19">
        <f>SUM(F276:K276)</f>
        <v>1257710.3300000003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885246.46+971322.52+25716.08+3184635.43+142063.91+184445.66</f>
        <v>5393430.0600000005</v>
      </c>
      <c r="G277" s="18">
        <f>469108.52+841258.37+0.9+19576.2+1189814.51+53397.54+89102.03</f>
        <v>2662258.0699999998</v>
      </c>
      <c r="H277" s="18">
        <f>659984.17+47446.96+168796.45+396+27678.77+3009.35+9968.59+149.04</f>
        <v>917429.33000000007</v>
      </c>
      <c r="I277" s="18">
        <f>100837.18+349.75+563.58+180877.92+437506.14+3400+22022.16</f>
        <v>745556.7300000001</v>
      </c>
      <c r="J277" s="18">
        <f>52300.16+506643.8+10790.31</f>
        <v>569734.27</v>
      </c>
      <c r="K277" s="18">
        <v>1500</v>
      </c>
      <c r="L277" s="19">
        <f>SUM(F277:K277)</f>
        <v>10289908.460000001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55793.82+412321.39</f>
        <v>468115.21</v>
      </c>
      <c r="G279" s="18">
        <f>12144.09+79239.38</f>
        <v>91383.47</v>
      </c>
      <c r="H279" s="18">
        <f>18947.83+2897.7+19.17</f>
        <v>21864.7</v>
      </c>
      <c r="I279" s="18">
        <f>8812.37+7740.63</f>
        <v>16553</v>
      </c>
      <c r="J279" s="18">
        <f>2071.09</f>
        <v>2071.09</v>
      </c>
      <c r="K279" s="18"/>
      <c r="L279" s="19">
        <f>SUM(F279:K279)</f>
        <v>599987.47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58421.59+75348.86+134758+92768</f>
        <v>361296.45</v>
      </c>
      <c r="G281" s="18">
        <f>31100.24+37814.87+77546.33+55982.62</f>
        <v>202444.06</v>
      </c>
      <c r="H281" s="18">
        <v>41.94</v>
      </c>
      <c r="I281" s="18"/>
      <c r="J281" s="18"/>
      <c r="K281" s="18"/>
      <c r="L281" s="19">
        <f t="shared" ref="L281:L287" si="12">SUM(F281:K281)</f>
        <v>563782.44999999995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18143.22</f>
        <v>18143.22</v>
      </c>
      <c r="G282" s="18">
        <f>7185.89+801.14</f>
        <v>7987.0300000000007</v>
      </c>
      <c r="H282" s="18">
        <f>10603.89</f>
        <v>10603.89</v>
      </c>
      <c r="I282" s="18">
        <f>268.8</f>
        <v>268.8</v>
      </c>
      <c r="J282" s="18">
        <f>6182</f>
        <v>6182</v>
      </c>
      <c r="K282" s="18"/>
      <c r="L282" s="19">
        <f t="shared" si="12"/>
        <v>43184.94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184404.56</f>
        <v>184404.56</v>
      </c>
      <c r="G283" s="18">
        <f>81860.39</f>
        <v>81860.39</v>
      </c>
      <c r="H283" s="18">
        <f>7511.57</f>
        <v>7511.57</v>
      </c>
      <c r="I283" s="18">
        <f>1067.72</f>
        <v>1067.72</v>
      </c>
      <c r="J283" s="18">
        <f>2705.24</f>
        <v>2705.24</v>
      </c>
      <c r="K283" s="18"/>
      <c r="L283" s="19">
        <f t="shared" si="12"/>
        <v>277549.48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f>2401.29+12410.76</f>
        <v>14812.05</v>
      </c>
      <c r="G288" s="18"/>
      <c r="H288" s="18">
        <f>245+10695</f>
        <v>10940</v>
      </c>
      <c r="I288" s="18">
        <v>278542.90999999997</v>
      </c>
      <c r="J288" s="18">
        <f>8976+82201.2+11899.4</f>
        <v>103076.59999999999</v>
      </c>
      <c r="K288" s="18"/>
      <c r="L288" s="19">
        <f>SUM(F288:K288)</f>
        <v>407371.55999999994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7172546.3499999996</v>
      </c>
      <c r="G290" s="42">
        <f t="shared" si="13"/>
        <v>3449687.44</v>
      </c>
      <c r="H290" s="42">
        <f t="shared" si="13"/>
        <v>1032094.74</v>
      </c>
      <c r="I290" s="42">
        <f t="shared" si="13"/>
        <v>1052497.24</v>
      </c>
      <c r="J290" s="42">
        <f t="shared" si="13"/>
        <v>730503.89999999991</v>
      </c>
      <c r="K290" s="42">
        <f t="shared" si="13"/>
        <v>2165.02</v>
      </c>
      <c r="L290" s="41">
        <f t="shared" si="13"/>
        <v>13439494.690000001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3565.5-0.05</f>
        <v>3565.45</v>
      </c>
      <c r="G295" s="18">
        <f>3067.5+87.24</f>
        <v>3154.74</v>
      </c>
      <c r="H295" s="18">
        <f>3065.01+5055</f>
        <v>8120.01</v>
      </c>
      <c r="I295" s="18">
        <f>2453.46+6.06</f>
        <v>2459.52</v>
      </c>
      <c r="J295" s="18">
        <v>13407.75</v>
      </c>
      <c r="K295" s="18">
        <f>370.87</f>
        <v>370.87</v>
      </c>
      <c r="L295" s="19">
        <f>SUM(F295:K295)</f>
        <v>31078.34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216456.19+518111.66+43095+82422.89+23876.32+101417.11</f>
        <v>985379.16999999993</v>
      </c>
      <c r="G296" s="18">
        <f>108318.61+359445.48+36921.37+33995.75+6898.89+55698.37</f>
        <v>601278.47</v>
      </c>
      <c r="H296" s="18">
        <f>93342.42+563.94+43231.02+760+943.86</f>
        <v>138841.24</v>
      </c>
      <c r="I296" s="18">
        <f>17550.68+14153.3+6151.77</f>
        <v>37855.75</v>
      </c>
      <c r="J296" s="18">
        <f>14574.88+102725.49</f>
        <v>117300.37000000001</v>
      </c>
      <c r="K296" s="18"/>
      <c r="L296" s="19">
        <f>SUM(F296:K296)</f>
        <v>1880655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37195.88+156980.46</f>
        <v>194176.34</v>
      </c>
      <c r="G298" s="18">
        <f>8096.06+35923.04</f>
        <v>44019.1</v>
      </c>
      <c r="H298" s="18">
        <f>12631.89</f>
        <v>12631.89</v>
      </c>
      <c r="I298" s="18">
        <f>5874.91+4990.19</f>
        <v>10865.099999999999</v>
      </c>
      <c r="J298" s="18">
        <f>1380.73</f>
        <v>1380.73</v>
      </c>
      <c r="K298" s="18"/>
      <c r="L298" s="19">
        <f>SUM(F298:K298)</f>
        <v>263073.16000000003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28125.06+43910.42</f>
        <v>72035.48</v>
      </c>
      <c r="G300" s="18">
        <f>15112.89+13.02+21687.42</f>
        <v>36813.33</v>
      </c>
      <c r="H300" s="18">
        <f>18.34</f>
        <v>18.34</v>
      </c>
      <c r="I300" s="18"/>
      <c r="J300" s="18"/>
      <c r="K300" s="18"/>
      <c r="L300" s="19">
        <f t="shared" ref="L300:L306" si="14">SUM(F300:K300)</f>
        <v>108867.15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10885.93</f>
        <v>10885.93</v>
      </c>
      <c r="G301" s="18">
        <f>4311.53</f>
        <v>4311.53</v>
      </c>
      <c r="H301" s="18">
        <f>5618.25</f>
        <v>5618.25</v>
      </c>
      <c r="I301" s="18">
        <f>161.28</f>
        <v>161.28</v>
      </c>
      <c r="J301" s="18">
        <f>2950.5</f>
        <v>2950.5</v>
      </c>
      <c r="K301" s="18"/>
      <c r="L301" s="19">
        <f t="shared" si="14"/>
        <v>23927.489999999998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35649.21</f>
        <v>35649.21</v>
      </c>
      <c r="G302" s="18">
        <f>14569.9</f>
        <v>14569.9</v>
      </c>
      <c r="H302" s="18">
        <f>657.53</f>
        <v>657.53</v>
      </c>
      <c r="I302" s="18">
        <f>120.37</f>
        <v>120.37</v>
      </c>
      <c r="J302" s="18">
        <f>236.8</f>
        <v>236.8</v>
      </c>
      <c r="K302" s="18"/>
      <c r="L302" s="19">
        <f t="shared" si="14"/>
        <v>51233.810000000005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f>647</f>
        <v>647</v>
      </c>
      <c r="I307" s="18"/>
      <c r="J307" s="18">
        <f>4284+196905.03</f>
        <v>201189.03</v>
      </c>
      <c r="K307" s="18"/>
      <c r="L307" s="19">
        <f>SUM(F307:K307)</f>
        <v>201836.03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1301691.5799999998</v>
      </c>
      <c r="G309" s="42">
        <f t="shared" si="15"/>
        <v>704147.07</v>
      </c>
      <c r="H309" s="42">
        <f t="shared" si="15"/>
        <v>166534.26</v>
      </c>
      <c r="I309" s="42">
        <f t="shared" si="15"/>
        <v>51462.02</v>
      </c>
      <c r="J309" s="42">
        <f t="shared" si="15"/>
        <v>336465.18</v>
      </c>
      <c r="K309" s="42">
        <f t="shared" si="15"/>
        <v>370.87</v>
      </c>
      <c r="L309" s="41">
        <f t="shared" si="15"/>
        <v>2560670.98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6968.92+244259.03</f>
        <v>251227.95</v>
      </c>
      <c r="G314" s="18">
        <f>6309.74+82142.18</f>
        <v>88451.92</v>
      </c>
      <c r="H314" s="18">
        <f>6074.8+21606.2+2763.04+3056+2612.26</f>
        <v>36112.300000000003</v>
      </c>
      <c r="I314" s="18">
        <f>4986.34+21097.95-453.99+8808.44</f>
        <v>34438.74</v>
      </c>
      <c r="J314" s="18">
        <f>114551.22</f>
        <v>114551.22</v>
      </c>
      <c r="K314" s="18">
        <f>724.88+3276+86500</f>
        <v>90500.88</v>
      </c>
      <c r="L314" s="19">
        <f>SUM(F314:K314)</f>
        <v>615283.01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156217.75+779766.87+381338.77+1658.56+64353.37+55050.16</f>
        <v>1438385.4800000002</v>
      </c>
      <c r="G315" s="18">
        <f>93560.41+550664.97+149+252623.87-434.51+28016.65+33610.57</f>
        <v>958190.96</v>
      </c>
      <c r="H315" s="18">
        <f>25993.19</f>
        <v>25993.19</v>
      </c>
      <c r="I315" s="18">
        <f>14096.56+89.99</f>
        <v>14186.55</v>
      </c>
      <c r="J315" s="18">
        <f>16315.15</f>
        <v>16315.15</v>
      </c>
      <c r="K315" s="18"/>
      <c r="L315" s="19">
        <f>SUM(F315:K315)</f>
        <v>2453071.33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5798.41+98.3+1000+39242.5+8333.93+235.53+624</f>
        <v>55332.67</v>
      </c>
      <c r="I316" s="18">
        <f>1168.82+20659.58+375.82+4426.7+804.56+23551.02+53930.89+1644.49+3732.89</f>
        <v>110294.77</v>
      </c>
      <c r="J316" s="18">
        <f>39774.33+15280.89+3838.67+11636+232141.13+5957.36</f>
        <v>308628.38</v>
      </c>
      <c r="K316" s="18">
        <f>1000+4000+230</f>
        <v>5230</v>
      </c>
      <c r="L316" s="19">
        <f>SUM(F316:K316)</f>
        <v>479485.82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9298.97+15212.5+28986.46+50075</f>
        <v>103572.93</v>
      </c>
      <c r="G317" s="18">
        <f>2024.02+1163.79+5548.16+8681.07</f>
        <v>17417.04</v>
      </c>
      <c r="H317" s="18">
        <f>3157.98+30000+1500+24777.5+1590.95+9690+130</f>
        <v>70846.429999999993</v>
      </c>
      <c r="I317" s="18">
        <f>2680.4+367.68+4009</f>
        <v>7057.08</v>
      </c>
      <c r="J317" s="18">
        <f>397.09</f>
        <v>397.09</v>
      </c>
      <c r="K317" s="18"/>
      <c r="L317" s="19">
        <f>SUM(F317:K317)</f>
        <v>199290.56999999998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27377.67+20993.26+5560.1+9050.18</f>
        <v>62981.209999999992</v>
      </c>
      <c r="G319" s="18">
        <f>15510.17+2401.07+3246.49+1940.89</f>
        <v>23098.620000000003</v>
      </c>
      <c r="H319" s="18">
        <f>7.34+1292.05+4476.34+980+6080.01</f>
        <v>12835.74</v>
      </c>
      <c r="I319" s="18">
        <f>4679.97</f>
        <v>4679.97</v>
      </c>
      <c r="J319" s="18">
        <f>4394</f>
        <v>4394</v>
      </c>
      <c r="K319" s="18"/>
      <c r="L319" s="19">
        <f t="shared" ref="L319:L325" si="16">SUM(F319:K319)</f>
        <v>107989.54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22808.62+42076.98</f>
        <v>64885.600000000006</v>
      </c>
      <c r="G320" s="18">
        <f>9033.69+29961.37</f>
        <v>38995.06</v>
      </c>
      <c r="H320" s="18">
        <f>10531.43+7325+14968.67</f>
        <v>32825.1</v>
      </c>
      <c r="I320" s="18">
        <f>337.92</f>
        <v>337.92</v>
      </c>
      <c r="J320" s="18">
        <f>4917.5</f>
        <v>4917.5</v>
      </c>
      <c r="K320" s="18"/>
      <c r="L320" s="19">
        <f t="shared" si="16"/>
        <v>141961.18000000002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6206.17+3850</f>
        <v>10056.17</v>
      </c>
      <c r="G321" s="18">
        <f>2402.26+346.67</f>
        <v>2748.9300000000003</v>
      </c>
      <c r="H321" s="18">
        <v>29.51</v>
      </c>
      <c r="I321" s="18">
        <f>69.99</f>
        <v>69.989999999999995</v>
      </c>
      <c r="J321" s="18">
        <f>10.62</f>
        <v>10.62</v>
      </c>
      <c r="K321" s="18">
        <v>20252.55</v>
      </c>
      <c r="L321" s="19">
        <f t="shared" si="16"/>
        <v>33167.770000000004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f>4084.8</f>
        <v>4084.8</v>
      </c>
      <c r="I322" s="18">
        <f>336.43</f>
        <v>336.43</v>
      </c>
      <c r="J322" s="18"/>
      <c r="K322" s="18"/>
      <c r="L322" s="19">
        <f t="shared" si="16"/>
        <v>4421.2300000000005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f>1573</f>
        <v>1573</v>
      </c>
      <c r="I326" s="18"/>
      <c r="J326" s="18">
        <f>7140+147897.4+4912.6+5045.9</f>
        <v>164995.9</v>
      </c>
      <c r="K326" s="18"/>
      <c r="L326" s="19">
        <f>SUM(F326:K326)</f>
        <v>166568.9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1931109.34</v>
      </c>
      <c r="G328" s="42">
        <f t="shared" si="17"/>
        <v>1128902.53</v>
      </c>
      <c r="H328" s="42">
        <f t="shared" si="17"/>
        <v>239632.74</v>
      </c>
      <c r="I328" s="42">
        <f t="shared" si="17"/>
        <v>171401.44999999998</v>
      </c>
      <c r="J328" s="42">
        <f t="shared" si="17"/>
        <v>614209.86</v>
      </c>
      <c r="K328" s="42">
        <f t="shared" si="17"/>
        <v>115983.43000000001</v>
      </c>
      <c r="L328" s="41">
        <f t="shared" si="17"/>
        <v>4201239.3499999996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f>5045.34+3027.2+6342.71+844.7+650</f>
        <v>15909.95</v>
      </c>
      <c r="I332" s="18">
        <v>90.16</v>
      </c>
      <c r="J332" s="18">
        <v>259.98</v>
      </c>
      <c r="K332" s="18"/>
      <c r="L332" s="19">
        <f t="shared" ref="L332:L337" si="18">SUM(F332:K332)</f>
        <v>16260.09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263105.75+32653.75+91312.72</f>
        <v>387072.22</v>
      </c>
      <c r="G333" s="18">
        <f>27487.67+4272.24+9656.36</f>
        <v>41416.269999999997</v>
      </c>
      <c r="H333" s="18">
        <f>9971.25+12376+439.53+179.75+2147.99</f>
        <v>25114.519999999997</v>
      </c>
      <c r="I333" s="18">
        <f>15327.02+26017.07+1046.55+1841.94</f>
        <v>44232.58</v>
      </c>
      <c r="J333" s="18"/>
      <c r="K333" s="18"/>
      <c r="L333" s="19">
        <f t="shared" si="18"/>
        <v>497835.59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0</v>
      </c>
      <c r="I336" s="18"/>
      <c r="J336" s="18">
        <v>0</v>
      </c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387072.22</v>
      </c>
      <c r="G337" s="41">
        <f t="shared" si="19"/>
        <v>41416.269999999997</v>
      </c>
      <c r="H337" s="41">
        <f t="shared" si="19"/>
        <v>41024.47</v>
      </c>
      <c r="I337" s="41">
        <f t="shared" si="19"/>
        <v>44322.740000000005</v>
      </c>
      <c r="J337" s="41">
        <f t="shared" si="19"/>
        <v>259.98</v>
      </c>
      <c r="K337" s="41">
        <f t="shared" si="19"/>
        <v>0</v>
      </c>
      <c r="L337" s="41">
        <f t="shared" si="18"/>
        <v>514095.67999999993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10792419.49</v>
      </c>
      <c r="G338" s="41">
        <f t="shared" si="20"/>
        <v>5324153.3099999996</v>
      </c>
      <c r="H338" s="41">
        <f t="shared" si="20"/>
        <v>1479286.21</v>
      </c>
      <c r="I338" s="41">
        <f t="shared" si="20"/>
        <v>1319683.45</v>
      </c>
      <c r="J338" s="41">
        <f t="shared" si="20"/>
        <v>1681438.92</v>
      </c>
      <c r="K338" s="41">
        <f t="shared" si="20"/>
        <v>118519.32</v>
      </c>
      <c r="L338" s="41">
        <f t="shared" si="20"/>
        <v>20715500.700000003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229263.07</v>
      </c>
      <c r="L344" s="19">
        <f t="shared" ref="L344:L350" si="21">SUM(F344:K344)</f>
        <v>229263.07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229263.07</v>
      </c>
      <c r="L351" s="41">
        <f>SUM(L341:L350)</f>
        <v>229263.07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10792419.49</v>
      </c>
      <c r="G352" s="41">
        <f>G338</f>
        <v>5324153.3099999996</v>
      </c>
      <c r="H352" s="41">
        <f>H338</f>
        <v>1479286.21</v>
      </c>
      <c r="I352" s="41">
        <f>I338</f>
        <v>1319683.45</v>
      </c>
      <c r="J352" s="41">
        <f>J338</f>
        <v>1681438.92</v>
      </c>
      <c r="K352" s="47">
        <f>K338+K351</f>
        <v>347782.39</v>
      </c>
      <c r="L352" s="41">
        <f>L338+L351</f>
        <v>20944763.770000003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106352.46+43002.24+594228.94</f>
        <v>743583.6399999999</v>
      </c>
      <c r="G358" s="18">
        <f>62153.14+20714.5+171167.99</f>
        <v>254035.63</v>
      </c>
      <c r="H358" s="18">
        <f>37803.81+6417.78+14630.49+2255.93+502.57+3885.8+20.25+17359.67+8150+928.5+12408.75</f>
        <v>104363.54999999999</v>
      </c>
      <c r="I358" s="18">
        <f>7177.99+11341.74+6313.79+134469.88+935107.13</f>
        <v>1094410.53</v>
      </c>
      <c r="J358" s="18"/>
      <c r="K358" s="18"/>
      <c r="L358" s="13">
        <f>SUM(F358:K358)</f>
        <v>2196393.3499999996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71412.34+136604.72+401293.48</f>
        <v>609310.54</v>
      </c>
      <c r="G359" s="18">
        <f>41733.89+50747.45+143428.15</f>
        <v>235909.49</v>
      </c>
      <c r="H359" s="18">
        <f>25384.07+4309.34+9823.91+1514.79+337.46+2609.2+13.59+16816.67+6569+223.8+5647.5</f>
        <v>73249.33</v>
      </c>
      <c r="I359" s="18">
        <f>4819.8+7615.62+4239.51+90292.3+448810.59</f>
        <v>555777.82000000007</v>
      </c>
      <c r="J359" s="18">
        <v>562.04</v>
      </c>
      <c r="K359" s="18"/>
      <c r="L359" s="19">
        <f>SUM(F359:K359)</f>
        <v>1474809.2200000002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74902.34+104666.42+459666.13</f>
        <v>639234.89</v>
      </c>
      <c r="G360" s="18">
        <f>43773.47+44935.85+165447.83</f>
        <v>254157.15</v>
      </c>
      <c r="H360" s="18">
        <f>26624.62+4519.94+10304.02+1588.82+353.95+2736.71+14.26+17471.66+18527.79+170.6+4327.5</f>
        <v>86639.87</v>
      </c>
      <c r="I360" s="18">
        <f>5055.34+7987.8+4446.7+94705+454658.13</f>
        <v>566852.97</v>
      </c>
      <c r="J360" s="18"/>
      <c r="K360" s="18"/>
      <c r="L360" s="19">
        <f>SUM(F360:K360)</f>
        <v>1546884.88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1992129.0699999998</v>
      </c>
      <c r="G362" s="47">
        <f t="shared" si="22"/>
        <v>744102.27</v>
      </c>
      <c r="H362" s="47">
        <f t="shared" si="22"/>
        <v>264252.75</v>
      </c>
      <c r="I362" s="47">
        <f t="shared" si="22"/>
        <v>2217041.3200000003</v>
      </c>
      <c r="J362" s="47">
        <f t="shared" si="22"/>
        <v>562.04</v>
      </c>
      <c r="K362" s="47">
        <f t="shared" si="22"/>
        <v>0</v>
      </c>
      <c r="L362" s="47">
        <f t="shared" si="22"/>
        <v>5218087.4499999993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1832.87+876153.15+134469.88</f>
        <v>1012455.9</v>
      </c>
      <c r="G367" s="18">
        <f>1230.71+424961.85+90292.3</f>
        <v>516484.86</v>
      </c>
      <c r="H367" s="18">
        <f>1290.86+420820.36+94705</f>
        <v>516816.22</v>
      </c>
      <c r="I367" s="56">
        <f>SUM(F367:H367)</f>
        <v>2045756.98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81954.63</v>
      </c>
      <c r="G368" s="63">
        <v>39292.949999999997</v>
      </c>
      <c r="H368" s="63">
        <v>50036.76</v>
      </c>
      <c r="I368" s="56">
        <f>SUM(F368:H368)</f>
        <v>171284.34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1094410.53</v>
      </c>
      <c r="G369" s="47">
        <f>SUM(G367:G368)</f>
        <v>555777.80999999994</v>
      </c>
      <c r="H369" s="47">
        <f>SUM(H367:H368)</f>
        <v>566852.98</v>
      </c>
      <c r="I369" s="47">
        <f>SUM(I367:I368)</f>
        <v>2217041.3199999998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2051506</v>
      </c>
      <c r="H395" s="18">
        <v>599</v>
      </c>
      <c r="I395" s="18"/>
      <c r="J395" s="24" t="s">
        <v>289</v>
      </c>
      <c r="K395" s="24" t="s">
        <v>289</v>
      </c>
      <c r="L395" s="56">
        <f t="shared" ref="L395:L400" si="26">SUM(F395:K395)</f>
        <v>2052105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40930</v>
      </c>
      <c r="H396" s="18">
        <v>530</v>
      </c>
      <c r="I396" s="18"/>
      <c r="J396" s="24" t="s">
        <v>289</v>
      </c>
      <c r="K396" s="24" t="s">
        <v>289</v>
      </c>
      <c r="L396" s="56">
        <f t="shared" si="26"/>
        <v>41460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7839</v>
      </c>
      <c r="I397" s="18"/>
      <c r="J397" s="24" t="s">
        <v>289</v>
      </c>
      <c r="K397" s="24" t="s">
        <v>289</v>
      </c>
      <c r="L397" s="56">
        <f t="shared" si="26"/>
        <v>7839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26+65</f>
        <v>91</v>
      </c>
      <c r="I400" s="18"/>
      <c r="J400" s="24" t="s">
        <v>289</v>
      </c>
      <c r="K400" s="24" t="s">
        <v>289</v>
      </c>
      <c r="L400" s="56">
        <f t="shared" si="26"/>
        <v>91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2092436</v>
      </c>
      <c r="H401" s="47">
        <f>SUM(H395:H400)</f>
        <v>9059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2101495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2092436</v>
      </c>
      <c r="H408" s="47">
        <f>H393+H401+H407</f>
        <v>9059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2101495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473860</v>
      </c>
      <c r="L423" s="56">
        <f t="shared" si="29"/>
        <v>473860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473860</v>
      </c>
      <c r="L427" s="47">
        <f t="shared" si="30"/>
        <v>473860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473860</v>
      </c>
      <c r="L434" s="47">
        <f t="shared" si="32"/>
        <v>473860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1618576</v>
      </c>
      <c r="H441" s="18"/>
      <c r="I441" s="56">
        <f t="shared" si="33"/>
        <v>1618576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1849741.66</v>
      </c>
      <c r="H442" s="18"/>
      <c r="I442" s="56">
        <f t="shared" si="33"/>
        <v>1849741.66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3468317.66</v>
      </c>
      <c r="H446" s="13">
        <f>SUM(H439:H445)</f>
        <v>0</v>
      </c>
      <c r="I446" s="13">
        <f>SUM(I439:I445)</f>
        <v>3468317.66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3468317.66</v>
      </c>
      <c r="H459" s="18"/>
      <c r="I459" s="56">
        <f t="shared" si="34"/>
        <v>3468317.66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3468317.66</v>
      </c>
      <c r="H460" s="83">
        <f>SUM(H454:H459)</f>
        <v>0</v>
      </c>
      <c r="I460" s="83">
        <f>SUM(I454:I459)</f>
        <v>3468317.66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3468317.66</v>
      </c>
      <c r="H461" s="42">
        <f>H452+H460</f>
        <v>0</v>
      </c>
      <c r="I461" s="42">
        <f>I452+I460</f>
        <v>3468317.66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2067630.71</v>
      </c>
      <c r="G465" s="18">
        <v>120978.42</v>
      </c>
      <c r="H465" s="18">
        <v>1028740.77</v>
      </c>
      <c r="I465" s="18"/>
      <c r="J465" s="18">
        <v>1840682.66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159382667.66999999</v>
      </c>
      <c r="G468" s="18">
        <v>5265579.6900000004</v>
      </c>
      <c r="H468" s="18">
        <v>21001097.559999999</v>
      </c>
      <c r="I468" s="18"/>
      <c r="J468" s="18">
        <f>9059+2051506+40930</f>
        <v>2101495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159382667.66999999</v>
      </c>
      <c r="G470" s="53">
        <f>SUM(G468:G469)</f>
        <v>5265579.6900000004</v>
      </c>
      <c r="H470" s="53">
        <f>SUM(H468:H469)</f>
        <v>21001097.559999999</v>
      </c>
      <c r="I470" s="53">
        <f>SUM(I468:I469)</f>
        <v>0</v>
      </c>
      <c r="J470" s="53">
        <f>SUM(J468:J469)</f>
        <v>2101495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160500692.06</v>
      </c>
      <c r="G472" s="18">
        <v>5218087.45</v>
      </c>
      <c r="H472" s="18">
        <v>20944763.77</v>
      </c>
      <c r="I472" s="18"/>
      <c r="J472" s="18">
        <v>473860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160500692.06</v>
      </c>
      <c r="G474" s="53">
        <f>SUM(G472:G473)</f>
        <v>5218087.45</v>
      </c>
      <c r="H474" s="53">
        <f>SUM(H472:H473)</f>
        <v>20944763.77</v>
      </c>
      <c r="I474" s="53">
        <f>SUM(I472:I473)</f>
        <v>0</v>
      </c>
      <c r="J474" s="53">
        <f>SUM(J472:J473)</f>
        <v>473860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949606.31999999285</v>
      </c>
      <c r="G476" s="53">
        <f>(G465+G470)- G474</f>
        <v>168470.66000000015</v>
      </c>
      <c r="H476" s="53">
        <f>(H465+H470)- H474</f>
        <v>1085074.5599999987</v>
      </c>
      <c r="I476" s="53">
        <f>(I465+I470)- I474</f>
        <v>0</v>
      </c>
      <c r="J476" s="53">
        <f>(J465+J470)- J474</f>
        <v>3468317.66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6509315.71</v>
      </c>
      <c r="G507" s="144">
        <v>933193.46</v>
      </c>
      <c r="H507" s="144">
        <v>683536.2</v>
      </c>
      <c r="I507" s="144">
        <v>6758972.9699999997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6360672.18+23304.21+758714.4+361048.49+39531.5+65662.9+184445.66+61857.9+39154.32+2419.6+144542.84+151779.81+37224.72+9000.54+0.04</f>
        <v>8239359.1100000003</v>
      </c>
      <c r="G521" s="18">
        <f>4723559.54+6730.11+384637.78+219322.94+53542.58+34729.58+89102.03+33844.71+12200.64+185.1-297296.86+58066.69+30686.12+6851.03</f>
        <v>5356161.9900000012</v>
      </c>
      <c r="H521" s="18">
        <f>411029.5+1145.68+358+237398.77+2417.09+1200+28.62+250206.8+419.17+63668.76+98677.02+586171.7+149.04+196425.47+6972.34+48147.5+73.5+181.94+35+425.85+66.52</f>
        <v>1905198.27</v>
      </c>
      <c r="I521" s="18">
        <f>100136.64+28315.72+691.73+37550.25+1773.54+1772.21</f>
        <v>170240.09</v>
      </c>
      <c r="J521" s="18">
        <f>17668+1631.92+249.2</f>
        <v>19549.12</v>
      </c>
      <c r="K521" s="18">
        <f>365.45+955.04</f>
        <v>1320.49</v>
      </c>
      <c r="L521" s="88">
        <f>SUM(F521:K521)</f>
        <v>15691829.07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3048281.23+31098+326172.44+373367.23+101417.11+139062.58+40659.32+86725.7+91067.89+22334.83+5400.32</f>
        <v>4265586.6500000004</v>
      </c>
      <c r="G522" s="18">
        <f>2076002.04+16063.77+199023.44+235891.65+55698.37+107769.32+33456.52-178378.12+34840.01+18411.67+4110.62</f>
        <v>2602889.2899999996</v>
      </c>
      <c r="H522" s="18">
        <f>146035.93+193219.57+1463.5+2424.75+245805.1+717557.16+148496.83+197.67+117855.28+4183.4+28888.5+44.1+109.16+21+255.51+39.91</f>
        <v>1606597.3699999999</v>
      </c>
      <c r="I522" s="18">
        <f>16996.08+431.25+303.92+22530.15+1064.12+1063.32</f>
        <v>42388.840000000004</v>
      </c>
      <c r="J522" s="18">
        <f>797.96+979.15+149.52</f>
        <v>1926.63</v>
      </c>
      <c r="K522" s="18">
        <f>12+573.02</f>
        <v>585.02</v>
      </c>
      <c r="L522" s="88">
        <f>SUM(F522:K522)</f>
        <v>8519973.7999999989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2844284.06+56210.15+339965.41+438544.42+20548.9+55050.16+113315.08+23070.7+24636.33+4517.76+181711+190808.9+46796.79+11314.96</f>
        <v>4350774.62</v>
      </c>
      <c r="G523" s="18">
        <f>1818540.32+149+23315.91+218713.05+297006.76+22274.12+33610.57+75110.36+23664.13+14835.2+3717.7-373744.62+72998.12+38576.84+8612.72</f>
        <v>2277380.1800000002</v>
      </c>
      <c r="H523" s="18">
        <f>157804.43+344.31+563.7+1136046.33+504+2531.25+83140.72+900547.21+1286172.94+46893.74+246.01+246934.88+8765.23+60528.28+92.4+228.73+44+535.35+83.63</f>
        <v>3932007.1399999997</v>
      </c>
      <c r="I523" s="18">
        <f>21710.62+6313.49+47206.03+2229.59+2227.92</f>
        <v>79687.649999999994</v>
      </c>
      <c r="J523" s="18">
        <f>6177.98+2051.56+313.28</f>
        <v>8542.82</v>
      </c>
      <c r="K523" s="18">
        <f>150+1200.62</f>
        <v>1350.62</v>
      </c>
      <c r="L523" s="88">
        <f>SUM(F523:K523)</f>
        <v>10649743.030000001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16855720.380000003</v>
      </c>
      <c r="G524" s="108">
        <f t="shared" ref="G524:L524" si="36">SUM(G521:G523)</f>
        <v>10236431.460000001</v>
      </c>
      <c r="H524" s="108">
        <f t="shared" si="36"/>
        <v>7443802.7799999993</v>
      </c>
      <c r="I524" s="108">
        <f t="shared" si="36"/>
        <v>292316.57999999996</v>
      </c>
      <c r="J524" s="108">
        <f t="shared" si="36"/>
        <v>30018.57</v>
      </c>
      <c r="K524" s="108">
        <f t="shared" si="36"/>
        <v>3256.13</v>
      </c>
      <c r="L524" s="89">
        <f t="shared" si="36"/>
        <v>34861545.899999999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235649.21+414184.36+999113.93+428649.13+152644.61</f>
        <v>2230241.2399999998</v>
      </c>
      <c r="G526" s="18">
        <f>221989.61+494088.24+271881.07+801.14+1688.48+911.25+88085.37</f>
        <v>1079445.1599999999</v>
      </c>
      <c r="H526" s="18">
        <f>2800+4511.25+444.96+3184.01+335.2+337.34+246.75+98821.14+558.93</f>
        <v>111239.57999999999</v>
      </c>
      <c r="I526" s="18">
        <f>1552.47+163.8+2138.27+1101.2+487.55</f>
        <v>5443.29</v>
      </c>
      <c r="J526" s="18">
        <v>1437</v>
      </c>
      <c r="K526" s="18"/>
      <c r="L526" s="88">
        <f>SUM(F526:K526)</f>
        <v>3427806.2699999996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181400.96+101767.38+24547.95+91586.77</f>
        <v>399303.06</v>
      </c>
      <c r="G527" s="18">
        <f>13.02+96092.08+43308.18+6929.43+2181.99+52851.22</f>
        <v>201375.91999999998</v>
      </c>
      <c r="H527" s="18">
        <f>176744.96+205.11+24052.9+1413.75+289.29+948+11.65+59292.68+335.36</f>
        <v>263293.69999999995</v>
      </c>
      <c r="I527" s="18">
        <f>27.81+292.53</f>
        <v>320.33999999999997</v>
      </c>
      <c r="J527" s="18"/>
      <c r="K527" s="18"/>
      <c r="L527" s="88">
        <f>SUM(F527:K527)</f>
        <v>864293.0199999999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45177.08+79685.1+66686.62+76836.99+191896.08</f>
        <v>460281.87</v>
      </c>
      <c r="G528" s="18">
        <f>36964.53+41279.87+29267.53+25294.13+1514.5+110735.89</f>
        <v>245056.45</v>
      </c>
      <c r="H528" s="18">
        <f>1529.56+72542.05+12741.96+173.95+5245.21+3956.1+8124.75+3398.4+1985.94+3640.95+124232.29+702.65</f>
        <v>238273.81</v>
      </c>
      <c r="I528" s="18">
        <v>612.91999999999996</v>
      </c>
      <c r="J528" s="18"/>
      <c r="K528" s="18"/>
      <c r="L528" s="88">
        <f>SUM(F528:K528)</f>
        <v>944225.05000000016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3089826.17</v>
      </c>
      <c r="G529" s="89">
        <f t="shared" ref="G529:L529" si="37">SUM(G526:G528)</f>
        <v>1525877.5299999998</v>
      </c>
      <c r="H529" s="89">
        <f t="shared" si="37"/>
        <v>612807.08999999985</v>
      </c>
      <c r="I529" s="89">
        <f t="shared" si="37"/>
        <v>6376.55</v>
      </c>
      <c r="J529" s="89">
        <f t="shared" si="37"/>
        <v>1437</v>
      </c>
      <c r="K529" s="89">
        <f t="shared" si="37"/>
        <v>0</v>
      </c>
      <c r="L529" s="89">
        <f t="shared" si="37"/>
        <v>5236324.3399999989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135583.24</v>
      </c>
      <c r="G531" s="18">
        <v>42742.29</v>
      </c>
      <c r="H531" s="18">
        <v>642.13</v>
      </c>
      <c r="I531" s="18"/>
      <c r="J531" s="18"/>
      <c r="K531" s="18"/>
      <c r="L531" s="88">
        <f>SUM(F531:K531)</f>
        <v>178967.66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81349.94</v>
      </c>
      <c r="G532" s="18">
        <v>25645.37</v>
      </c>
      <c r="H532" s="18">
        <v>385.28</v>
      </c>
      <c r="I532" s="18"/>
      <c r="J532" s="18"/>
      <c r="K532" s="18"/>
      <c r="L532" s="88">
        <f>SUM(F532:K532)</f>
        <v>107380.59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170447.5</v>
      </c>
      <c r="G533" s="18">
        <v>53733.17</v>
      </c>
      <c r="H533" s="18">
        <v>807.25</v>
      </c>
      <c r="I533" s="18"/>
      <c r="J533" s="18"/>
      <c r="K533" s="18"/>
      <c r="L533" s="88">
        <f>SUM(F533:K533)</f>
        <v>224987.91999999998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387380.68</v>
      </c>
      <c r="G534" s="89">
        <f t="shared" ref="G534:L534" si="38">SUM(G531:G533)</f>
        <v>122120.83</v>
      </c>
      <c r="H534" s="89">
        <f t="shared" si="38"/>
        <v>1834.6599999999999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511336.17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22656.77</v>
      </c>
      <c r="I536" s="18"/>
      <c r="J536" s="18"/>
      <c r="K536" s="18"/>
      <c r="L536" s="88">
        <f>SUM(F536:K536)</f>
        <v>22656.77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13594.06</v>
      </c>
      <c r="I537" s="18"/>
      <c r="J537" s="18"/>
      <c r="K537" s="18"/>
      <c r="L537" s="88">
        <f>SUM(F537:K537)</f>
        <v>13594.06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28482.799999999999</v>
      </c>
      <c r="I538" s="18"/>
      <c r="J538" s="18"/>
      <c r="K538" s="18"/>
      <c r="L538" s="88">
        <f>SUM(F538:K538)</f>
        <v>28482.799999999999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64733.630000000005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64733.630000000005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11868.49</v>
      </c>
      <c r="G541" s="18">
        <v>4555.04</v>
      </c>
      <c r="H541" s="18">
        <v>1318714.82</v>
      </c>
      <c r="I541" s="18"/>
      <c r="J541" s="18"/>
      <c r="K541" s="18"/>
      <c r="L541" s="88">
        <f>SUM(F541:K541)</f>
        <v>1335138.3500000001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5322.52</v>
      </c>
      <c r="G542" s="18">
        <v>2042.74</v>
      </c>
      <c r="H542" s="18">
        <v>591383.52</v>
      </c>
      <c r="I542" s="18"/>
      <c r="J542" s="18"/>
      <c r="K542" s="18"/>
      <c r="L542" s="88">
        <f>SUM(F542:K542)</f>
        <v>598748.78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8578.33</v>
      </c>
      <c r="G543" s="18">
        <v>3292.3</v>
      </c>
      <c r="H543" s="18">
        <v>953142.44</v>
      </c>
      <c r="I543" s="18"/>
      <c r="J543" s="18"/>
      <c r="K543" s="18"/>
      <c r="L543" s="88">
        <f>SUM(F543:K543)</f>
        <v>965013.07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25769.340000000004</v>
      </c>
      <c r="G544" s="193">
        <f t="shared" ref="G544:L544" si="40">SUM(G541:G543)</f>
        <v>9890.08</v>
      </c>
      <c r="H544" s="193">
        <f t="shared" si="40"/>
        <v>2863240.7800000003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2898900.2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20358696.570000004</v>
      </c>
      <c r="G545" s="89">
        <f t="shared" ref="G545:L545" si="41">G524+G529+G534+G539+G544</f>
        <v>11894319.9</v>
      </c>
      <c r="H545" s="89">
        <f t="shared" si="41"/>
        <v>10986418.939999999</v>
      </c>
      <c r="I545" s="89">
        <f t="shared" si="41"/>
        <v>298693.12999999995</v>
      </c>
      <c r="J545" s="89">
        <f t="shared" si="41"/>
        <v>31455.57</v>
      </c>
      <c r="K545" s="89">
        <f t="shared" si="41"/>
        <v>3256.13</v>
      </c>
      <c r="L545" s="89">
        <f t="shared" si="41"/>
        <v>43572840.240000002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15691829.07</v>
      </c>
      <c r="G549" s="87">
        <f>L526</f>
        <v>3427806.2699999996</v>
      </c>
      <c r="H549" s="87">
        <f>L531</f>
        <v>178967.66</v>
      </c>
      <c r="I549" s="87">
        <f>L536</f>
        <v>22656.77</v>
      </c>
      <c r="J549" s="87">
        <f>L541</f>
        <v>1335138.3500000001</v>
      </c>
      <c r="K549" s="87">
        <f>SUM(F549:J549)</f>
        <v>20656398.120000001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8519973.7999999989</v>
      </c>
      <c r="G550" s="87">
        <f>L527</f>
        <v>864293.0199999999</v>
      </c>
      <c r="H550" s="87">
        <f>L532</f>
        <v>107380.59</v>
      </c>
      <c r="I550" s="87">
        <f>L537</f>
        <v>13594.06</v>
      </c>
      <c r="J550" s="87">
        <f>L542</f>
        <v>598748.78</v>
      </c>
      <c r="K550" s="87">
        <f>SUM(F550:J550)</f>
        <v>10103990.249999998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10649743.030000001</v>
      </c>
      <c r="G551" s="87">
        <f>L528</f>
        <v>944225.05000000016</v>
      </c>
      <c r="H551" s="87">
        <f>L533</f>
        <v>224987.91999999998</v>
      </c>
      <c r="I551" s="87">
        <f>L538</f>
        <v>28482.799999999999</v>
      </c>
      <c r="J551" s="87">
        <f>L543</f>
        <v>965013.07</v>
      </c>
      <c r="K551" s="87">
        <f>SUM(F551:J551)</f>
        <v>12812451.870000003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34861545.899999999</v>
      </c>
      <c r="G552" s="89">
        <f t="shared" si="42"/>
        <v>5236324.3399999989</v>
      </c>
      <c r="H552" s="89">
        <f t="shared" si="42"/>
        <v>511336.17</v>
      </c>
      <c r="I552" s="89">
        <f t="shared" si="42"/>
        <v>64733.630000000005</v>
      </c>
      <c r="J552" s="89">
        <f t="shared" si="42"/>
        <v>2898900.2</v>
      </c>
      <c r="K552" s="89">
        <f t="shared" si="42"/>
        <v>43572840.240000002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544796.46+3184635.43</f>
        <v>3729431.89</v>
      </c>
      <c r="G557" s="18">
        <f>313618.26+1189814.51</f>
        <v>1503432.77</v>
      </c>
      <c r="H557" s="18">
        <f>578647.82+168796.45+396+27678.77</f>
        <v>775519.04</v>
      </c>
      <c r="I557" s="18">
        <f>77635.22+180877.92+437506.14</f>
        <v>696019.28</v>
      </c>
      <c r="J557" s="18">
        <f>21561.03+506643.8+10790.31</f>
        <v>538995.14</v>
      </c>
      <c r="K557" s="18">
        <v>1500</v>
      </c>
      <c r="L557" s="88">
        <f>SUM(F557:K557)</f>
        <v>7244898.1200000001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f>27139.82+82422.89</f>
        <v>109562.70999999999</v>
      </c>
      <c r="G558" s="18">
        <f>15623.34+33995.75</f>
        <v>49619.09</v>
      </c>
      <c r="H558" s="18">
        <f>28826.17+43231.02+760+943.86</f>
        <v>73761.05</v>
      </c>
      <c r="I558" s="18">
        <f>3867.52+14153.3+6151.77</f>
        <v>24172.59</v>
      </c>
      <c r="J558" s="18">
        <f>1074.09+102725.49</f>
        <v>103799.58</v>
      </c>
      <c r="K558" s="18"/>
      <c r="L558" s="88">
        <f>SUM(F558:K558)</f>
        <v>360915.01999999996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f>116.82+1658.56-434.51</f>
        <v>1340.87</v>
      </c>
      <c r="G559" s="18">
        <f>67.25</f>
        <v>67.25</v>
      </c>
      <c r="H559" s="18">
        <f>124.07</f>
        <v>124.07</v>
      </c>
      <c r="I559" s="18">
        <f>16.65</f>
        <v>16.649999999999999</v>
      </c>
      <c r="J559" s="18">
        <f>4.62</f>
        <v>4.62</v>
      </c>
      <c r="K559" s="18"/>
      <c r="L559" s="88">
        <f>SUM(F559:K559)</f>
        <v>1553.4599999999998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3840335.47</v>
      </c>
      <c r="G560" s="108">
        <f t="shared" si="43"/>
        <v>1553119.11</v>
      </c>
      <c r="H560" s="108">
        <f t="shared" si="43"/>
        <v>849404.16</v>
      </c>
      <c r="I560" s="108">
        <f t="shared" si="43"/>
        <v>720208.52</v>
      </c>
      <c r="J560" s="108">
        <f t="shared" si="43"/>
        <v>642799.34</v>
      </c>
      <c r="K560" s="108">
        <f t="shared" si="43"/>
        <v>1500</v>
      </c>
      <c r="L560" s="89">
        <f t="shared" si="43"/>
        <v>7607366.5999999996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86127.01+1692385.11</f>
        <v>1778512.12</v>
      </c>
      <c r="G562" s="18">
        <f>35934.92+1038457.16</f>
        <v>1074392.08</v>
      </c>
      <c r="H562" s="18">
        <f>20574.28+9964.87+9968.59</f>
        <v>40507.740000000005</v>
      </c>
      <c r="I562" s="18">
        <f>22135.34+7148.22+22022.16</f>
        <v>51305.72</v>
      </c>
      <c r="J562" s="18">
        <f>32375.19</f>
        <v>32375.19</v>
      </c>
      <c r="K562" s="18"/>
      <c r="L562" s="88">
        <f>SUM(F562:K562)</f>
        <v>2977092.8500000006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33163.69+654883.74</f>
        <v>688047.42999999993</v>
      </c>
      <c r="G563" s="18">
        <f>13836.94+413294.26</f>
        <v>427131.2</v>
      </c>
      <c r="H563" s="18">
        <f>7922.24+1085.25</f>
        <v>9007.49</v>
      </c>
      <c r="I563" s="18">
        <f>8523.34+241.66+928.84</f>
        <v>9693.84</v>
      </c>
      <c r="J563" s="18">
        <f>12466.25</f>
        <v>12466.25</v>
      </c>
      <c r="K563" s="18"/>
      <c r="L563" s="88">
        <f>SUM(F563:K563)</f>
        <v>1146346.21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39896.21+840792.32</f>
        <v>880688.52999999991</v>
      </c>
      <c r="G564" s="18">
        <f>16645.96+441719.36</f>
        <v>458365.32</v>
      </c>
      <c r="H564" s="18">
        <f>9530.53+1085</f>
        <v>10615.53</v>
      </c>
      <c r="I564" s="18">
        <f>10253.65+777.8+3366.99</f>
        <v>14398.439999999999</v>
      </c>
      <c r="J564" s="18">
        <f>14997.01</f>
        <v>14997.01</v>
      </c>
      <c r="K564" s="18"/>
      <c r="L564" s="88">
        <f>SUM(F564:K564)</f>
        <v>1379064.8299999998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3347248.0799999996</v>
      </c>
      <c r="G565" s="89">
        <f t="shared" si="44"/>
        <v>1959888.6</v>
      </c>
      <c r="H565" s="89">
        <f t="shared" si="44"/>
        <v>60130.76</v>
      </c>
      <c r="I565" s="89">
        <f t="shared" si="44"/>
        <v>75398</v>
      </c>
      <c r="J565" s="89">
        <f t="shared" si="44"/>
        <v>59838.450000000004</v>
      </c>
      <c r="K565" s="89">
        <f t="shared" si="44"/>
        <v>0</v>
      </c>
      <c r="L565" s="89">
        <f t="shared" si="44"/>
        <v>5502503.8900000006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7187583.5499999998</v>
      </c>
      <c r="G571" s="89">
        <f t="shared" ref="G571:L571" si="46">G560+G565+G570</f>
        <v>3513007.71</v>
      </c>
      <c r="H571" s="89">
        <f t="shared" si="46"/>
        <v>909534.92</v>
      </c>
      <c r="I571" s="89">
        <f t="shared" si="46"/>
        <v>795606.52</v>
      </c>
      <c r="J571" s="89">
        <f t="shared" si="46"/>
        <v>702637.78999999992</v>
      </c>
      <c r="K571" s="89">
        <f t="shared" si="46"/>
        <v>1500</v>
      </c>
      <c r="L571" s="89">
        <f t="shared" si="46"/>
        <v>13109870.49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669337</v>
      </c>
      <c r="G579" s="18">
        <v>708706.22</v>
      </c>
      <c r="H579" s="18">
        <v>1746176.74</v>
      </c>
      <c r="I579" s="87">
        <f t="shared" si="47"/>
        <v>3124219.96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v>468.62</v>
      </c>
      <c r="H580" s="18"/>
      <c r="I580" s="87">
        <f t="shared" si="47"/>
        <v>468.62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514252.49</v>
      </c>
      <c r="G582" s="18">
        <v>599276.56999999995</v>
      </c>
      <c r="H582" s="18">
        <v>1751947.46</v>
      </c>
      <c r="I582" s="87">
        <f t="shared" si="47"/>
        <v>2865476.52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9625.8+3694.31+1069527.98</f>
        <v>1082848.0900000001</v>
      </c>
      <c r="I591" s="18">
        <f>9988.37+3833.46+1109803.95</f>
        <v>1123625.78</v>
      </c>
      <c r="J591" s="18">
        <f>3203.99+1229.67+355996.52</f>
        <v>360430.18</v>
      </c>
      <c r="K591" s="104">
        <f t="shared" ref="K591:K597" si="48">SUM(H591:J591)</f>
        <v>2566904.0500000003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11868.49+4555.04+1318714.82</f>
        <v>1335138.3500000001</v>
      </c>
      <c r="I592" s="18">
        <f>5322.52+2042.74+591383.52</f>
        <v>598748.78</v>
      </c>
      <c r="J592" s="18">
        <f>8578.33+3292.3+953142.44</f>
        <v>965013.07</v>
      </c>
      <c r="K592" s="104">
        <f t="shared" si="48"/>
        <v>2898900.2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13183.29</v>
      </c>
      <c r="J594" s="18">
        <v>108547.96</v>
      </c>
      <c r="K594" s="104">
        <f t="shared" si="48"/>
        <v>121731.25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3369.81</v>
      </c>
      <c r="I595" s="18">
        <f>1110+2400.39</f>
        <v>3510.39</v>
      </c>
      <c r="J595" s="18">
        <f>4767.2+6167.4</f>
        <v>10934.599999999999</v>
      </c>
      <c r="K595" s="104">
        <f t="shared" si="48"/>
        <v>17814.8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2421356.2500000005</v>
      </c>
      <c r="I598" s="108">
        <f>SUM(I591:I597)</f>
        <v>1739068.24</v>
      </c>
      <c r="J598" s="108">
        <f>SUM(J591:J597)</f>
        <v>1444925.81</v>
      </c>
      <c r="K598" s="108">
        <f>SUM(K591:K597)</f>
        <v>5605350.2999999998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72824.82-1719.41+770313.58+11899.4</f>
        <v>853318.39</v>
      </c>
      <c r="I604" s="18">
        <f>43694.88-1031.64+384302.71</f>
        <v>426965.95</v>
      </c>
      <c r="J604" s="18">
        <f>91551.19-2161.54+716950.27+4912.6+5045.9</f>
        <v>816298.42</v>
      </c>
      <c r="K604" s="104">
        <f>SUM(H604:J604)</f>
        <v>2096582.7600000002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853318.39</v>
      </c>
      <c r="I605" s="108">
        <f>SUM(I602:I604)</f>
        <v>426965.95</v>
      </c>
      <c r="J605" s="108">
        <f>SUM(J602:J604)</f>
        <v>816298.42</v>
      </c>
      <c r="K605" s="108">
        <f>SUM(K602:K604)</f>
        <v>2096582.7600000002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111970.91</v>
      </c>
      <c r="G611" s="18">
        <v>21671.99</v>
      </c>
      <c r="H611" s="18">
        <f>15331.5+108159.34+28601.38</f>
        <v>152092.22</v>
      </c>
      <c r="I611" s="18">
        <v>112.6</v>
      </c>
      <c r="J611" s="18"/>
      <c r="K611" s="18"/>
      <c r="L611" s="88">
        <f>SUM(F611:K611)</f>
        <v>285847.71999999997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43127.839999999997</v>
      </c>
      <c r="G612" s="18">
        <v>8397.42</v>
      </c>
      <c r="H612" s="18">
        <f>5728.06+37235.18+9846.38</f>
        <v>52809.619999999995</v>
      </c>
      <c r="I612" s="18">
        <v>149.07</v>
      </c>
      <c r="J612" s="18"/>
      <c r="K612" s="18"/>
      <c r="L612" s="88">
        <f>SUM(F612:K612)</f>
        <v>104483.95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49803.58</v>
      </c>
      <c r="G613" s="18">
        <v>9654.83</v>
      </c>
      <c r="H613" s="18">
        <f>5574.05+31915.87+8439.75</f>
        <v>45929.67</v>
      </c>
      <c r="I613" s="18">
        <v>290.60000000000002</v>
      </c>
      <c r="J613" s="18"/>
      <c r="K613" s="18"/>
      <c r="L613" s="88">
        <f>SUM(F613:K613)</f>
        <v>105678.68000000001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204902.33000000002</v>
      </c>
      <c r="G614" s="108">
        <f t="shared" si="49"/>
        <v>39724.240000000005</v>
      </c>
      <c r="H614" s="108">
        <f t="shared" si="49"/>
        <v>250831.51</v>
      </c>
      <c r="I614" s="108">
        <f t="shared" si="49"/>
        <v>552.27</v>
      </c>
      <c r="J614" s="108">
        <f t="shared" si="49"/>
        <v>0</v>
      </c>
      <c r="K614" s="108">
        <f t="shared" si="49"/>
        <v>0</v>
      </c>
      <c r="L614" s="89">
        <f t="shared" si="49"/>
        <v>496010.35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25170893.870000001</v>
      </c>
      <c r="H617" s="109">
        <f>SUM(F52)</f>
        <v>25170893.869999997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885768.66</v>
      </c>
      <c r="H618" s="109">
        <f>SUM(G52)</f>
        <v>885768.66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3980791.29</v>
      </c>
      <c r="H619" s="109">
        <f>SUM(H52)</f>
        <v>3980791.29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3468317.66</v>
      </c>
      <c r="H621" s="109">
        <f>SUM(J52)</f>
        <v>3468317.66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949606.32</v>
      </c>
      <c r="H622" s="109">
        <f>F476</f>
        <v>949606.31999999285</v>
      </c>
      <c r="I622" s="121" t="s">
        <v>101</v>
      </c>
      <c r="J622" s="109">
        <f t="shared" ref="J622:J655" si="50">G622-H622</f>
        <v>7.1013346314430237E-9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168470.66</v>
      </c>
      <c r="H623" s="109">
        <f>G476</f>
        <v>168470.66000000015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1085074.56</v>
      </c>
      <c r="H624" s="109">
        <f>H476</f>
        <v>1085074.5599999987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3468317.66</v>
      </c>
      <c r="H626" s="109">
        <f>J476</f>
        <v>3468317.66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159382667.67000002</v>
      </c>
      <c r="H627" s="104">
        <f>SUM(F468)</f>
        <v>159382667.66999999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5265579.6899999995</v>
      </c>
      <c r="H628" s="104">
        <f>SUM(G468)</f>
        <v>5265579.6900000004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21001097.560000002</v>
      </c>
      <c r="H629" s="104">
        <f>SUM(H468)</f>
        <v>21001097.559999999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2101495</v>
      </c>
      <c r="H631" s="104">
        <f>SUM(J468)</f>
        <v>2101495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160500692.06099999</v>
      </c>
      <c r="H632" s="104">
        <f>SUM(F472)</f>
        <v>160500692.06</v>
      </c>
      <c r="I632" s="140" t="s">
        <v>111</v>
      </c>
      <c r="J632" s="109">
        <f t="shared" si="50"/>
        <v>9.9998712539672852E-4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20944763.770000003</v>
      </c>
      <c r="H633" s="104">
        <f>SUM(H472)</f>
        <v>20944763.77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2217041.3200000003</v>
      </c>
      <c r="H634" s="104">
        <f>I369</f>
        <v>2217041.3199999998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5218087.4499999993</v>
      </c>
      <c r="H635" s="104">
        <f>SUM(G472)</f>
        <v>5218087.45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2101495</v>
      </c>
      <c r="H637" s="164">
        <f>SUM(J468)</f>
        <v>2101495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473860</v>
      </c>
      <c r="H638" s="164">
        <f>SUM(J472)</f>
        <v>473860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3468317.66</v>
      </c>
      <c r="H640" s="104">
        <f>SUM(G461)</f>
        <v>3468317.66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3468317.66</v>
      </c>
      <c r="H642" s="104">
        <f>SUM(I461)</f>
        <v>3468317.66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9059</v>
      </c>
      <c r="H644" s="104">
        <f>H408</f>
        <v>9059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2092436</v>
      </c>
      <c r="H645" s="104">
        <f>G408</f>
        <v>2092436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2101495</v>
      </c>
      <c r="H646" s="104">
        <f>L408</f>
        <v>2101495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5605350.2999999998</v>
      </c>
      <c r="H647" s="104">
        <f>L208+L226+L244</f>
        <v>5605350.3000000007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2096582.7600000002</v>
      </c>
      <c r="H648" s="104">
        <f>(J257+J338)-(J255+J336)</f>
        <v>2096582.76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2421356.25</v>
      </c>
      <c r="H649" s="104">
        <f>H598</f>
        <v>2421356.2500000005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1739068.24</v>
      </c>
      <c r="H650" s="104">
        <f>I598</f>
        <v>1739068.24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1444925.81</v>
      </c>
      <c r="H651" s="104">
        <f>J598</f>
        <v>1444925.81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2092436</v>
      </c>
      <c r="H655" s="104">
        <f>K266+K347</f>
        <v>2092436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1.0000467300415039E-3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77263662.049999997</v>
      </c>
      <c r="G660" s="19">
        <f>(L229+L309+L359)</f>
        <v>37299648.04999999</v>
      </c>
      <c r="H660" s="19">
        <f>(L247+L328+L360)</f>
        <v>57001299.541000001</v>
      </c>
      <c r="I660" s="19">
        <f>SUM(F660:H660)</f>
        <v>171564609.641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430398.12871920952</v>
      </c>
      <c r="G661" s="19">
        <f>(L359/IF(SUM(L358:L360)=0,1,SUM(L358:L360))*(SUM(G97:G110)))</f>
        <v>288998.83916778257</v>
      </c>
      <c r="H661" s="19">
        <f>(L360/IF(SUM(L358:L360)=0,1,SUM(L358:L360))*(SUM(G97:G110)))</f>
        <v>303122.55211300787</v>
      </c>
      <c r="I661" s="19">
        <f>SUM(F661:H661)</f>
        <v>1022519.5199999999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2421356.25</v>
      </c>
      <c r="G662" s="19">
        <f>(L226+L306)-(J226+J306)</f>
        <v>1739068.24</v>
      </c>
      <c r="H662" s="19">
        <f>(L244+L325)-(J244+J325)</f>
        <v>1444925.81</v>
      </c>
      <c r="I662" s="19">
        <f>SUM(F662:H662)</f>
        <v>5605350.3000000007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2322755.5999999996</v>
      </c>
      <c r="G663" s="199">
        <f>SUM(G575:G587)+SUM(I602:I604)+L612</f>
        <v>1839901.3099999998</v>
      </c>
      <c r="H663" s="199">
        <f>SUM(H575:H587)+SUM(J602:J604)+L613</f>
        <v>4420101.3</v>
      </c>
      <c r="I663" s="19">
        <f>SUM(F663:H663)</f>
        <v>8582758.209999999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72089152.071280792</v>
      </c>
      <c r="G664" s="19">
        <f>G660-SUM(G661:G663)</f>
        <v>33431679.660832208</v>
      </c>
      <c r="H664" s="19">
        <f>H660-SUM(H661:H663)</f>
        <v>50833149.878886998</v>
      </c>
      <c r="I664" s="19">
        <f>I660-SUM(I661:I663)</f>
        <v>156353981.611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6829.91</v>
      </c>
      <c r="G665" s="248">
        <v>3033.94</v>
      </c>
      <c r="H665" s="248">
        <v>4578.1899999999996</v>
      </c>
      <c r="I665" s="19">
        <f>SUM(F665:H665)</f>
        <v>14442.04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10554.92</v>
      </c>
      <c r="G667" s="19">
        <f>ROUND(G664/G665,2)</f>
        <v>11019.23</v>
      </c>
      <c r="H667" s="19">
        <f>ROUND(H664/H665,2)</f>
        <v>11103.33</v>
      </c>
      <c r="I667" s="19">
        <f>ROUND(I664/I665,2)</f>
        <v>10826.31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71.67</v>
      </c>
      <c r="I670" s="19">
        <f>SUM(F670:H670)</f>
        <v>71.67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10554.92</v>
      </c>
      <c r="G672" s="19">
        <f>ROUND((G664+G669)/(G665+G670),2)</f>
        <v>11019.23</v>
      </c>
      <c r="H672" s="19">
        <f>ROUND((H664+H669)/(H665+H670),2)</f>
        <v>10932.19</v>
      </c>
      <c r="I672" s="19">
        <f>ROUND((I664+I669)/(I665+I670),2)</f>
        <v>10772.85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44439169.270000003</v>
      </c>
      <c r="C9" s="229">
        <f>'DOE25'!G197+'DOE25'!G215+'DOE25'!G233+'DOE25'!G276+'DOE25'!G295+'DOE25'!G314</f>
        <v>19983297.620000001</v>
      </c>
    </row>
    <row r="10" spans="1:3" x14ac:dyDescent="0.2">
      <c r="A10" t="s">
        <v>779</v>
      </c>
      <c r="B10" s="240">
        <f>41464316.16+63210.94</f>
        <v>41527527.099999994</v>
      </c>
      <c r="C10" s="240">
        <f>B10*0.465</f>
        <v>19310300.101499997</v>
      </c>
    </row>
    <row r="11" spans="1:3" x14ac:dyDescent="0.2">
      <c r="A11" t="s">
        <v>780</v>
      </c>
      <c r="B11" s="240">
        <v>58036.800000000003</v>
      </c>
      <c r="C11" s="240">
        <f>C9-C10-C12</f>
        <v>102276.44450000208</v>
      </c>
    </row>
    <row r="12" spans="1:3" x14ac:dyDescent="0.2">
      <c r="A12" t="s">
        <v>781</v>
      </c>
      <c r="B12" s="240">
        <f>B9-B10-B11</f>
        <v>2853605.3700000094</v>
      </c>
      <c r="C12" s="240">
        <f>B12*0.2</f>
        <v>570721.07400000188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44439169.270000003</v>
      </c>
      <c r="C13" s="231">
        <f>SUM(C10:C12)</f>
        <v>19983297.620000001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24043738.400000002</v>
      </c>
      <c r="C18" s="229">
        <f>'DOE25'!G198+'DOE25'!G216+'DOE25'!G234+'DOE25'!G277+'DOE25'!G296+'DOE25'!G315</f>
        <v>13749004.650000002</v>
      </c>
    </row>
    <row r="19" spans="1:3" x14ac:dyDescent="0.2">
      <c r="A19" t="s">
        <v>779</v>
      </c>
      <c r="B19" s="240">
        <f>7913099.64+129575+1395483.22+1137525.42+37529.96+2407704.09+2750528.91+346230.06</f>
        <v>16117676.300000001</v>
      </c>
      <c r="C19" s="240">
        <f>B19*0.465</f>
        <v>7494719.4795000004</v>
      </c>
    </row>
    <row r="20" spans="1:3" x14ac:dyDescent="0.2">
      <c r="A20" t="s">
        <v>780</v>
      </c>
      <c r="B20" s="240">
        <f>4343980.32+80527.79+134935.24+60080.4+28132.94+32573.1+353541.6+41625.14</f>
        <v>5075396.53</v>
      </c>
      <c r="C20" s="240">
        <f>C18-C19-C21</f>
        <v>5684152.0565000018</v>
      </c>
    </row>
    <row r="21" spans="1:3" x14ac:dyDescent="0.2">
      <c r="A21" t="s">
        <v>781</v>
      </c>
      <c r="B21" s="240">
        <f>B18-B19-B20</f>
        <v>2850665.5700000012</v>
      </c>
      <c r="C21" s="240">
        <f>B21*0.2</f>
        <v>570133.11400000029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24043738.400000002</v>
      </c>
      <c r="C22" s="231">
        <f>SUM(C19:C21)</f>
        <v>13749004.650000002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2369082.67</v>
      </c>
      <c r="C27" s="234">
        <f>'DOE25'!G199+'DOE25'!G217+'DOE25'!G235+'DOE25'!G278+'DOE25'!G297+'DOE25'!G316</f>
        <v>1371959.6700000002</v>
      </c>
    </row>
    <row r="28" spans="1:3" x14ac:dyDescent="0.2">
      <c r="A28" t="s">
        <v>779</v>
      </c>
      <c r="B28" s="240">
        <f>103201.18+225470.84+197968.94+269526.92+357057.24+723925.54+439037.56</f>
        <v>2316188.2199999997</v>
      </c>
      <c r="C28" s="240">
        <f>C27-C30</f>
        <v>1361380.78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f>B27-B28</f>
        <v>52894.450000000186</v>
      </c>
      <c r="C30" s="240">
        <f>B30*0.2</f>
        <v>10578.890000000038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2369082.67</v>
      </c>
      <c r="C31" s="231">
        <f>SUM(C28:C30)</f>
        <v>1371959.6700000002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1866963.6600000001</v>
      </c>
      <c r="C36" s="235">
        <f>'DOE25'!G200+'DOE25'!G218+'DOE25'!G236+'DOE25'!G279+'DOE25'!G298+'DOE25'!G317</f>
        <v>430155.62999999995</v>
      </c>
    </row>
    <row r="37" spans="1:3" x14ac:dyDescent="0.2">
      <c r="A37" t="s">
        <v>779</v>
      </c>
      <c r="B37" s="240">
        <v>134758</v>
      </c>
      <c r="C37" s="240">
        <f>B37*0.49</f>
        <v>66031.42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B36-B37</f>
        <v>1732205.6600000001</v>
      </c>
      <c r="C39" s="240">
        <f>C36-C37</f>
        <v>364124.20999999996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1866963.6600000001</v>
      </c>
      <c r="C40" s="231">
        <f>SUM(C37:C39)</f>
        <v>430155.62999999995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9" sqref="B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Manchester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103088246.67</v>
      </c>
      <c r="D5" s="20">
        <f>SUM('DOE25'!L197:L200)+SUM('DOE25'!L215:L218)+SUM('DOE25'!L233:L236)-F5-G5</f>
        <v>102766108.16000001</v>
      </c>
      <c r="E5" s="243"/>
      <c r="F5" s="255">
        <f>SUM('DOE25'!J197:J200)+SUM('DOE25'!J215:J218)+SUM('DOE25'!J233:J236)</f>
        <v>80323.41</v>
      </c>
      <c r="G5" s="53">
        <f>SUM('DOE25'!K197:K200)+SUM('DOE25'!K215:K218)+SUM('DOE25'!K233:K236)</f>
        <v>241815.1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10885412.190000001</v>
      </c>
      <c r="D6" s="20">
        <f>'DOE25'!L202+'DOE25'!L220+'DOE25'!L238-F6-G6</f>
        <v>10883975.190000001</v>
      </c>
      <c r="E6" s="243"/>
      <c r="F6" s="255">
        <f>'DOE25'!J202+'DOE25'!J220+'DOE25'!J238</f>
        <v>1437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2296802.8099999996</v>
      </c>
      <c r="D7" s="20">
        <f>'DOE25'!L203+'DOE25'!L221+'DOE25'!L239-F7-G7</f>
        <v>2296802.8099999996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600133.2899999998</v>
      </c>
      <c r="D8" s="243"/>
      <c r="E8" s="20">
        <f>'DOE25'!L204+'DOE25'!L222+'DOE25'!L240-F8-G8-D9-D11</f>
        <v>591459.17999999982</v>
      </c>
      <c r="F8" s="255">
        <f>'DOE25'!J204+'DOE25'!J222+'DOE25'!J240</f>
        <v>0</v>
      </c>
      <c r="G8" s="53">
        <f>'DOE25'!K204+'DOE25'!K222+'DOE25'!K240</f>
        <v>8674.11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526729.18999999994</v>
      </c>
      <c r="D9" s="244">
        <v>526729.18999999994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88000</v>
      </c>
      <c r="D10" s="243"/>
      <c r="E10" s="244">
        <v>88000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685759.14</v>
      </c>
      <c r="D11" s="244">
        <v>685759.14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9523145.8599999994</v>
      </c>
      <c r="D12" s="20">
        <f>'DOE25'!L205+'DOE25'!L223+'DOE25'!L241-F12-G12</f>
        <v>9476093.4100000001</v>
      </c>
      <c r="E12" s="243"/>
      <c r="F12" s="255">
        <f>'DOE25'!J205+'DOE25'!J223+'DOE25'!J241</f>
        <v>0</v>
      </c>
      <c r="G12" s="53">
        <f>'DOE25'!K205+'DOE25'!K223+'DOE25'!K241</f>
        <v>47052.45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1302240.3</v>
      </c>
      <c r="D13" s="243"/>
      <c r="E13" s="20">
        <f>'DOE25'!L206+'DOE25'!L224+'DOE25'!L242-F13-G13</f>
        <v>1298642.93</v>
      </c>
      <c r="F13" s="255">
        <f>'DOE25'!J206+'DOE25'!J224+'DOE25'!J242</f>
        <v>3317.37</v>
      </c>
      <c r="G13" s="53">
        <f>'DOE25'!K206+'DOE25'!K224+'DOE25'!K242</f>
        <v>280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9636240.3210000005</v>
      </c>
      <c r="D14" s="20">
        <f>'DOE25'!L207+'DOE25'!L225+'DOE25'!L243-F14-G14</f>
        <v>9535896.8210000005</v>
      </c>
      <c r="E14" s="243"/>
      <c r="F14" s="255">
        <f>'DOE25'!J207+'DOE25'!J225+'DOE25'!J243</f>
        <v>100123.5</v>
      </c>
      <c r="G14" s="53">
        <f>'DOE25'!K207+'DOE25'!K225+'DOE25'!K243</f>
        <v>220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5605350.3000000007</v>
      </c>
      <c r="D15" s="20">
        <f>'DOE25'!L208+'DOE25'!L226+'DOE25'!L244-F15-G15</f>
        <v>5605350.3000000007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1995057.1</v>
      </c>
      <c r="D16" s="243"/>
      <c r="E16" s="20">
        <f>'DOE25'!L209+'DOE25'!L227+'DOE25'!L245-F16-G16</f>
        <v>1765011.54</v>
      </c>
      <c r="F16" s="255">
        <f>'DOE25'!J209+'DOE25'!J227+'DOE25'!J245</f>
        <v>229942.56000000003</v>
      </c>
      <c r="G16" s="53">
        <f>'DOE25'!K209+'DOE25'!K227+'DOE25'!K245</f>
        <v>103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12263138.890000001</v>
      </c>
      <c r="D25" s="243"/>
      <c r="E25" s="243"/>
      <c r="F25" s="258"/>
      <c r="G25" s="256"/>
      <c r="H25" s="257">
        <f>'DOE25'!L260+'DOE25'!L261+'DOE25'!L341+'DOE25'!L342</f>
        <v>12263138.890000001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3172330.4699999993</v>
      </c>
      <c r="D29" s="20">
        <f>'DOE25'!L358+'DOE25'!L359+'DOE25'!L360-'DOE25'!I367-F29-G29</f>
        <v>3171768.4299999992</v>
      </c>
      <c r="E29" s="243"/>
      <c r="F29" s="255">
        <f>'DOE25'!J358+'DOE25'!J359+'DOE25'!J360</f>
        <v>562.04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20699240.610000003</v>
      </c>
      <c r="D31" s="20">
        <f>'DOE25'!L290+'DOE25'!L309+'DOE25'!L328+'DOE25'!L333+'DOE25'!L334+'DOE25'!L335-F31-G31</f>
        <v>18899542.350000001</v>
      </c>
      <c r="E31" s="243"/>
      <c r="F31" s="255">
        <f>'DOE25'!J290+'DOE25'!J309+'DOE25'!J328+'DOE25'!J333+'DOE25'!J334+'DOE25'!J335</f>
        <v>1681178.94</v>
      </c>
      <c r="G31" s="53">
        <f>'DOE25'!K290+'DOE25'!K309+'DOE25'!K328+'DOE25'!K333+'DOE25'!K334+'DOE25'!K335</f>
        <v>118519.32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163848025.80100003</v>
      </c>
      <c r="E33" s="246">
        <f>SUM(E5:E31)</f>
        <v>3743113.65</v>
      </c>
      <c r="F33" s="246">
        <f>SUM(F5:F31)</f>
        <v>2096884.8199999998</v>
      </c>
      <c r="G33" s="246">
        <f>SUM(G5:G31)</f>
        <v>416663.98000000004</v>
      </c>
      <c r="H33" s="246">
        <f>SUM(H5:H31)</f>
        <v>12263138.890000001</v>
      </c>
    </row>
    <row r="35" spans="2:8" ht="12" thickBot="1" x14ac:dyDescent="0.25">
      <c r="B35" s="253" t="s">
        <v>847</v>
      </c>
      <c r="D35" s="254">
        <f>E33</f>
        <v>3743113.65</v>
      </c>
      <c r="E35" s="249"/>
    </row>
    <row r="36" spans="2:8" ht="12" thickTop="1" x14ac:dyDescent="0.2">
      <c r="B36" t="s">
        <v>815</v>
      </c>
      <c r="D36" s="20">
        <f>D33</f>
        <v>163848025.80100003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6323140.8099999996</v>
      </c>
      <c r="D8" s="95">
        <f>'DOE25'!G9</f>
        <v>137072.84</v>
      </c>
      <c r="E8" s="95">
        <f>'DOE25'!H9</f>
        <v>1400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1210191.8799999999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1618576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16668087.84</v>
      </c>
      <c r="D12" s="95">
        <f>'DOE25'!G13</f>
        <v>689717.75</v>
      </c>
      <c r="E12" s="95">
        <f>'DOE25'!H13</f>
        <v>65522.85</v>
      </c>
      <c r="F12" s="95">
        <f>'DOE25'!I13</f>
        <v>0</v>
      </c>
      <c r="G12" s="95">
        <f>'DOE25'!J13</f>
        <v>1849741.66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940743.74</v>
      </c>
      <c r="D13" s="95">
        <f>'DOE25'!G14</f>
        <v>29686.26</v>
      </c>
      <c r="E13" s="95">
        <f>'DOE25'!H14</f>
        <v>3913460.44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29291.81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28729.599999999999</v>
      </c>
      <c r="D16" s="95">
        <f>'DOE25'!G17</f>
        <v>0</v>
      </c>
      <c r="E16" s="95">
        <f>'DOE25'!H17</f>
        <v>408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25170893.870000001</v>
      </c>
      <c r="D18" s="41">
        <f>SUM(D8:D17)</f>
        <v>885768.66</v>
      </c>
      <c r="E18" s="41">
        <f>SUM(E8:E17)</f>
        <v>3980791.29</v>
      </c>
      <c r="F18" s="41">
        <f>SUM(F8:F17)</f>
        <v>0</v>
      </c>
      <c r="G18" s="41">
        <f>SUM(G8:G17)</f>
        <v>3468317.66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598286.06999999995</v>
      </c>
      <c r="E21" s="95">
        <f>'DOE25'!H22</f>
        <v>2230481.81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826529.6</v>
      </c>
      <c r="D23" s="95">
        <f>'DOE25'!G24</f>
        <v>53590.239999999998</v>
      </c>
      <c r="E23" s="95">
        <f>'DOE25'!H24</f>
        <v>144307.29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2909245.94</v>
      </c>
      <c r="D27" s="95">
        <f>'DOE25'!G28</f>
        <v>16410.810000000001</v>
      </c>
      <c r="E27" s="95">
        <f>'DOE25'!H28</f>
        <v>493277.11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1466604.9300000002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19018907.079999998</v>
      </c>
      <c r="D29" s="95">
        <f>'DOE25'!G30</f>
        <v>49010.879999999997</v>
      </c>
      <c r="E29" s="95">
        <f>'DOE25'!H30</f>
        <v>27650.52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24221287.549999997</v>
      </c>
      <c r="D31" s="41">
        <f>SUM(D21:D30)</f>
        <v>717298</v>
      </c>
      <c r="E31" s="41">
        <f>SUM(E21:E30)</f>
        <v>2895716.73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29291.81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28729.599999999999</v>
      </c>
      <c r="D35" s="95">
        <f>'DOE25'!G36</f>
        <v>0</v>
      </c>
      <c r="E35" s="95">
        <f>'DOE25'!H36</f>
        <v>408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139178.85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793094.59</v>
      </c>
      <c r="D47" s="95">
        <f>'DOE25'!G48</f>
        <v>0</v>
      </c>
      <c r="E47" s="95">
        <f>'DOE25'!H48</f>
        <v>1084666.56</v>
      </c>
      <c r="F47" s="95">
        <f>'DOE25'!I48</f>
        <v>0</v>
      </c>
      <c r="G47" s="95">
        <f>'DOE25'!J48</f>
        <v>3468317.66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127782.12999999999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949606.32</v>
      </c>
      <c r="D50" s="41">
        <f>SUM(D34:D49)</f>
        <v>168470.66</v>
      </c>
      <c r="E50" s="41">
        <f>SUM(E34:E49)</f>
        <v>1085074.56</v>
      </c>
      <c r="F50" s="41">
        <f>SUM(F34:F49)</f>
        <v>0</v>
      </c>
      <c r="G50" s="41">
        <f>SUM(G34:G49)</f>
        <v>3468317.66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25170893.869999997</v>
      </c>
      <c r="D51" s="41">
        <f>D50+D31</f>
        <v>885768.66</v>
      </c>
      <c r="E51" s="41">
        <f>E50+E31</f>
        <v>3980791.29</v>
      </c>
      <c r="F51" s="41">
        <f>F50+F31</f>
        <v>0</v>
      </c>
      <c r="G51" s="41">
        <f>G50+G31</f>
        <v>3468317.66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68037670</v>
      </c>
      <c r="D56" s="95">
        <f>'DOE25'!G60</f>
        <v>0</v>
      </c>
      <c r="E56" s="95">
        <f>'DOE25'!H60</f>
        <v>554095.69999999995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7998611.3699999992</v>
      </c>
      <c r="D57" s="24" t="s">
        <v>289</v>
      </c>
      <c r="E57" s="95">
        <f>'DOE25'!H79</f>
        <v>3545574.87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144177.09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9059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1022519.5199999999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686935.95</v>
      </c>
      <c r="D61" s="95">
        <f>SUM('DOE25'!G98:G110)</f>
        <v>0</v>
      </c>
      <c r="E61" s="95">
        <f>SUM('DOE25'!H98:H110)</f>
        <v>525950.5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8829724.4099999983</v>
      </c>
      <c r="D62" s="130">
        <f>SUM(D57:D61)</f>
        <v>1022519.5199999999</v>
      </c>
      <c r="E62" s="130">
        <f>SUM(E57:E61)</f>
        <v>4071525.37</v>
      </c>
      <c r="F62" s="130">
        <f>SUM(F57:F61)</f>
        <v>0</v>
      </c>
      <c r="G62" s="130">
        <f>SUM(G57:G61)</f>
        <v>9059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76867394.409999996</v>
      </c>
      <c r="D63" s="22">
        <f>D56+D62</f>
        <v>1022519.5199999999</v>
      </c>
      <c r="E63" s="22">
        <f>E56+E62</f>
        <v>4625621.07</v>
      </c>
      <c r="F63" s="22">
        <f>F56+F62</f>
        <v>0</v>
      </c>
      <c r="G63" s="22">
        <f>G56+G62</f>
        <v>9059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56699577.189999998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19703889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76403466.189999998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2611296.64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538021.98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674163.55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78775.37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3823482.17</v>
      </c>
      <c r="D78" s="130">
        <f>SUM(D72:D77)</f>
        <v>78775.37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80226948.359999999</v>
      </c>
      <c r="D81" s="130">
        <f>SUM(D79:D80)+D78+D70</f>
        <v>78775.37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319467.18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1585201.83</v>
      </c>
      <c r="D88" s="95">
        <f>SUM('DOE25'!G153:G161)</f>
        <v>3844817.6199999996</v>
      </c>
      <c r="E88" s="95">
        <f>SUM('DOE25'!H153:H161)</f>
        <v>16375476.49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1585201.83</v>
      </c>
      <c r="D91" s="131">
        <f>SUM(D85:D90)</f>
        <v>4164284.8</v>
      </c>
      <c r="E91" s="131">
        <f>SUM(E85:E90)</f>
        <v>16375476.49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2092436</v>
      </c>
    </row>
    <row r="97" spans="1:7" x14ac:dyDescent="0.2">
      <c r="A97" t="s">
        <v>758</v>
      </c>
      <c r="B97" s="32" t="s">
        <v>188</v>
      </c>
      <c r="C97" s="95">
        <f>SUM('DOE25'!F180:F181)</f>
        <v>229263.07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473860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703123.07000000007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2092436</v>
      </c>
    </row>
    <row r="104" spans="1:7" ht="12.75" thickTop="1" thickBot="1" x14ac:dyDescent="0.25">
      <c r="A104" s="33" t="s">
        <v>765</v>
      </c>
      <c r="C104" s="86">
        <f>C63+C81+C91+C103</f>
        <v>159382667.66999999</v>
      </c>
      <c r="D104" s="86">
        <f>D63+D81+D91+D103</f>
        <v>5265579.6899999995</v>
      </c>
      <c r="E104" s="86">
        <f>E63+E81+E91+E103</f>
        <v>21001097.560000002</v>
      </c>
      <c r="F104" s="86">
        <f>F63+F81+F91+F103</f>
        <v>0</v>
      </c>
      <c r="G104" s="86">
        <f>G63+G81+G103</f>
        <v>2101495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63828935.189999998</v>
      </c>
      <c r="D109" s="24" t="s">
        <v>289</v>
      </c>
      <c r="E109" s="95">
        <f>('DOE25'!L276)+('DOE25'!L295)+('DOE25'!L314)</f>
        <v>1904071.6800000004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33347781.530000001</v>
      </c>
      <c r="D110" s="24" t="s">
        <v>289</v>
      </c>
      <c r="E110" s="95">
        <f>('DOE25'!L277)+('DOE25'!L296)+('DOE25'!L315)</f>
        <v>14623634.790000001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3767512.9600000004</v>
      </c>
      <c r="D111" s="24" t="s">
        <v>289</v>
      </c>
      <c r="E111" s="95">
        <f>('DOE25'!L278)+('DOE25'!L297)+('DOE25'!L316)</f>
        <v>479485.82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2144016.9899999998</v>
      </c>
      <c r="D112" s="24" t="s">
        <v>289</v>
      </c>
      <c r="E112" s="95">
        <f>+('DOE25'!L279)+('DOE25'!L298)+('DOE25'!L317)</f>
        <v>1062351.2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16260.09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497835.59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103088246.66999999</v>
      </c>
      <c r="D115" s="86">
        <f>SUM(D109:D114)</f>
        <v>0</v>
      </c>
      <c r="E115" s="86">
        <f>SUM(E109:E114)</f>
        <v>18583639.169999998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10885412.190000001</v>
      </c>
      <c r="D118" s="24" t="s">
        <v>289</v>
      </c>
      <c r="E118" s="95">
        <f>+('DOE25'!L281)+('DOE25'!L300)+('DOE25'!L319)</f>
        <v>780639.14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2296802.8099999996</v>
      </c>
      <c r="D119" s="24" t="s">
        <v>289</v>
      </c>
      <c r="E119" s="95">
        <f>+('DOE25'!L282)+('DOE25'!L301)+('DOE25'!L320)</f>
        <v>209073.61000000002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1812621.6199999999</v>
      </c>
      <c r="D120" s="24" t="s">
        <v>289</v>
      </c>
      <c r="E120" s="95">
        <f>+('DOE25'!L283)+('DOE25'!L302)+('DOE25'!L321)</f>
        <v>361951.06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9523145.8599999994</v>
      </c>
      <c r="D121" s="24" t="s">
        <v>289</v>
      </c>
      <c r="E121" s="95">
        <f>+('DOE25'!L284)+('DOE25'!L303)+('DOE25'!L322)</f>
        <v>4421.2300000000005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1302240.3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9636240.3210000005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5605350.3000000007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1995057.1</v>
      </c>
      <c r="D125" s="24" t="s">
        <v>289</v>
      </c>
      <c r="E125" s="95">
        <f>+('DOE25'!L288)+('DOE25'!L307)+('DOE25'!L326)</f>
        <v>775776.49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5218087.4499999993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43056870.500999995</v>
      </c>
      <c r="D128" s="86">
        <f>SUM(D118:D127)</f>
        <v>5218087.4499999993</v>
      </c>
      <c r="E128" s="86">
        <f>SUM(E118:E127)</f>
        <v>2131861.5300000003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7296407.2000000002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4966731.6900000004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229263.07</v>
      </c>
      <c r="F134" s="95">
        <f>'DOE25'!K381</f>
        <v>0</v>
      </c>
      <c r="G134" s="95">
        <f>'DOE25'!K434</f>
        <v>473860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2101495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-9059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14355574.890000001</v>
      </c>
      <c r="D144" s="141">
        <f>SUM(D130:D143)</f>
        <v>0</v>
      </c>
      <c r="E144" s="141">
        <f>SUM(E130:E143)</f>
        <v>229263.07</v>
      </c>
      <c r="F144" s="141">
        <f>SUM(F130:F143)</f>
        <v>0</v>
      </c>
      <c r="G144" s="141">
        <f>SUM(G130:G143)</f>
        <v>473860</v>
      </c>
    </row>
    <row r="145" spans="1:9" ht="12.75" thickTop="1" thickBot="1" x14ac:dyDescent="0.25">
      <c r="A145" s="33" t="s">
        <v>244</v>
      </c>
      <c r="C145" s="86">
        <f>(C115+C128+C144)</f>
        <v>160500692.06099999</v>
      </c>
      <c r="D145" s="86">
        <f>(D115+D128+D144)</f>
        <v>5218087.4499999993</v>
      </c>
      <c r="E145" s="86">
        <f>(E115+E128+E144)</f>
        <v>20944763.77</v>
      </c>
      <c r="F145" s="86">
        <f>(F115+F128+F144)</f>
        <v>0</v>
      </c>
      <c r="G145" s="86">
        <f>(G115+G128+G144)</f>
        <v>473860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5" sqref="C2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Manchester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10555</v>
      </c>
    </row>
    <row r="5" spans="1:4" x14ac:dyDescent="0.2">
      <c r="B5" t="s">
        <v>704</v>
      </c>
      <c r="C5" s="179">
        <f>IF('DOE25'!G665+'DOE25'!G670=0,0,ROUND('DOE25'!G672,0))</f>
        <v>11019</v>
      </c>
    </row>
    <row r="6" spans="1:4" x14ac:dyDescent="0.2">
      <c r="B6" t="s">
        <v>62</v>
      </c>
      <c r="C6" s="179">
        <f>IF('DOE25'!H665+'DOE25'!H670=0,0,ROUND('DOE25'!H672,0))</f>
        <v>10932</v>
      </c>
    </row>
    <row r="7" spans="1:4" x14ac:dyDescent="0.2">
      <c r="B7" t="s">
        <v>705</v>
      </c>
      <c r="C7" s="179">
        <f>IF('DOE25'!I665+'DOE25'!I670=0,0,ROUND('DOE25'!I672,0))</f>
        <v>10773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65733007</v>
      </c>
      <c r="D10" s="182">
        <f>ROUND((C10/$C$28)*100,1)</f>
        <v>37.299999999999997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47971416</v>
      </c>
      <c r="D11" s="182">
        <f>ROUND((C11/$C$28)*100,1)</f>
        <v>27.3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4246999</v>
      </c>
      <c r="D12" s="182">
        <f>ROUND((C12/$C$28)*100,1)</f>
        <v>2.4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3206368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11666051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2505876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4945406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9527567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1302240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9636240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5605350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16260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497836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4966732</v>
      </c>
      <c r="D25" s="182">
        <f t="shared" si="0"/>
        <v>2.8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4195567.4800000004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176022915.47999999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176022915.47999999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7296407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68591766</v>
      </c>
      <c r="D35" s="182">
        <f t="shared" ref="D35:D40" si="1">ROUND((C35/$C$41)*100,1)</f>
        <v>37.299999999999997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12910308.480000004</v>
      </c>
      <c r="D36" s="182">
        <f t="shared" si="1"/>
        <v>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76403466</v>
      </c>
      <c r="D37" s="182">
        <f t="shared" si="1"/>
        <v>41.5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3902258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22124963</v>
      </c>
      <c r="D39" s="182">
        <f t="shared" si="1"/>
        <v>12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183932761.48000002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Manchester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2015-10-22T14:38:24Z</cp:lastPrinted>
  <dcterms:created xsi:type="dcterms:W3CDTF">1997-12-04T19:04:30Z</dcterms:created>
  <dcterms:modified xsi:type="dcterms:W3CDTF">2015-11-25T18:44:53Z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