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44" i="1" l="1"/>
  <c r="G276" i="1" l="1"/>
  <c r="H604" i="1"/>
  <c r="H526" i="1"/>
  <c r="I521" i="1"/>
  <c r="G521" i="1"/>
  <c r="F521" i="1"/>
  <c r="K285" i="1"/>
  <c r="I282" i="1"/>
  <c r="G282" i="1"/>
  <c r="I277" i="1"/>
  <c r="I276" i="1"/>
  <c r="I203" i="1"/>
  <c r="I202" i="1"/>
  <c r="H208" i="1"/>
  <c r="H204" i="1"/>
  <c r="H202" i="1"/>
  <c r="G204" i="1"/>
  <c r="G203" i="1"/>
  <c r="F204" i="1"/>
  <c r="F203" i="1"/>
  <c r="H159" i="1"/>
  <c r="H155" i="1"/>
  <c r="H154" i="1"/>
  <c r="F110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C18" i="10" s="1"/>
  <c r="L241" i="1"/>
  <c r="F14" i="13"/>
  <c r="G14" i="13"/>
  <c r="L207" i="1"/>
  <c r="C20" i="10" s="1"/>
  <c r="L225" i="1"/>
  <c r="L243" i="1"/>
  <c r="F15" i="13"/>
  <c r="G15" i="13"/>
  <c r="L208" i="1"/>
  <c r="L226" i="1"/>
  <c r="G650" i="1" s="1"/>
  <c r="L244" i="1"/>
  <c r="H6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3" i="10"/>
  <c r="C16" i="10"/>
  <c r="C19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H661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K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I257" i="1" s="1"/>
  <c r="I271" i="1" s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640" i="1" s="1"/>
  <c r="J640" i="1" s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2" i="1"/>
  <c r="H642" i="1"/>
  <c r="G643" i="1"/>
  <c r="H643" i="1"/>
  <c r="G644" i="1"/>
  <c r="H644" i="1"/>
  <c r="G645" i="1"/>
  <c r="H645" i="1"/>
  <c r="G649" i="1"/>
  <c r="G652" i="1"/>
  <c r="H652" i="1"/>
  <c r="G653" i="1"/>
  <c r="H653" i="1"/>
  <c r="G654" i="1"/>
  <c r="H654" i="1"/>
  <c r="H655" i="1"/>
  <c r="F192" i="1"/>
  <c r="L256" i="1"/>
  <c r="K257" i="1"/>
  <c r="K271" i="1" s="1"/>
  <c r="G164" i="2"/>
  <c r="C18" i="2"/>
  <c r="C26" i="10"/>
  <c r="L328" i="1"/>
  <c r="L351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G22" i="2"/>
  <c r="K598" i="1"/>
  <c r="G647" i="1" s="1"/>
  <c r="K545" i="1"/>
  <c r="J552" i="1"/>
  <c r="C29" i="10"/>
  <c r="I661" i="1"/>
  <c r="H140" i="1"/>
  <c r="L401" i="1"/>
  <c r="C139" i="2" s="1"/>
  <c r="L393" i="1"/>
  <c r="C138" i="2" s="1"/>
  <c r="F22" i="13"/>
  <c r="H25" i="13"/>
  <c r="C25" i="13" s="1"/>
  <c r="J634" i="1"/>
  <c r="H571" i="1"/>
  <c r="L560" i="1"/>
  <c r="J545" i="1"/>
  <c r="H338" i="1"/>
  <c r="H352" i="1" s="1"/>
  <c r="G192" i="1"/>
  <c r="H192" i="1"/>
  <c r="E128" i="2"/>
  <c r="C35" i="10"/>
  <c r="E16" i="13"/>
  <c r="C16" i="13" s="1"/>
  <c r="J655" i="1"/>
  <c r="J645" i="1"/>
  <c r="L570" i="1"/>
  <c r="I571" i="1"/>
  <c r="I545" i="1"/>
  <c r="J636" i="1"/>
  <c r="G36" i="2"/>
  <c r="L565" i="1"/>
  <c r="G545" i="1"/>
  <c r="C22" i="13"/>
  <c r="H33" i="13"/>
  <c r="L545" i="1" l="1"/>
  <c r="K552" i="1"/>
  <c r="H552" i="1"/>
  <c r="L534" i="1"/>
  <c r="F552" i="1"/>
  <c r="F257" i="1"/>
  <c r="F271" i="1" s="1"/>
  <c r="C124" i="2"/>
  <c r="C128" i="2" s="1"/>
  <c r="C21" i="10"/>
  <c r="J647" i="1"/>
  <c r="G651" i="1"/>
  <c r="J651" i="1" s="1"/>
  <c r="H662" i="1"/>
  <c r="F338" i="1"/>
  <c r="F352" i="1" s="1"/>
  <c r="A13" i="12"/>
  <c r="E111" i="2"/>
  <c r="K338" i="1"/>
  <c r="K352" i="1" s="1"/>
  <c r="C12" i="10"/>
  <c r="E109" i="2"/>
  <c r="E115" i="2" s="1"/>
  <c r="D5" i="13"/>
  <c r="C5" i="13" s="1"/>
  <c r="H257" i="1"/>
  <c r="H271" i="1" s="1"/>
  <c r="L247" i="1"/>
  <c r="H660" i="1" s="1"/>
  <c r="C110" i="2"/>
  <c r="C115" i="2" s="1"/>
  <c r="J257" i="1"/>
  <c r="J271" i="1" s="1"/>
  <c r="J649" i="1"/>
  <c r="C11" i="10"/>
  <c r="G662" i="1"/>
  <c r="C15" i="10"/>
  <c r="C10" i="10"/>
  <c r="C17" i="10"/>
  <c r="L211" i="1"/>
  <c r="F660" i="1" s="1"/>
  <c r="F664" i="1" s="1"/>
  <c r="F672" i="1" s="1"/>
  <c r="C4" i="10" s="1"/>
  <c r="E33" i="13"/>
  <c r="D35" i="13" s="1"/>
  <c r="L229" i="1"/>
  <c r="C81" i="2"/>
  <c r="C104" i="2" s="1"/>
  <c r="F112" i="1"/>
  <c r="C62" i="2"/>
  <c r="C63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E104" i="2"/>
  <c r="I663" i="1"/>
  <c r="C27" i="10"/>
  <c r="G635" i="1"/>
  <c r="J635" i="1" s="1"/>
  <c r="H664" i="1" l="1"/>
  <c r="H672" i="1" s="1"/>
  <c r="C6" i="10" s="1"/>
  <c r="H667" i="1"/>
  <c r="I662" i="1"/>
  <c r="D31" i="13"/>
  <c r="C31" i="13" s="1"/>
  <c r="H648" i="1"/>
  <c r="J648" i="1" s="1"/>
  <c r="C145" i="2"/>
  <c r="C28" i="10"/>
  <c r="D23" i="10" s="1"/>
  <c r="L257" i="1"/>
  <c r="L271" i="1" s="1"/>
  <c r="G632" i="1" s="1"/>
  <c r="J632" i="1" s="1"/>
  <c r="F667" i="1"/>
  <c r="G660" i="1"/>
  <c r="G664" i="1" s="1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7" i="10"/>
  <c r="D20" i="10"/>
  <c r="D18" i="10"/>
  <c r="D15" i="10"/>
  <c r="D17" i="10"/>
  <c r="D25" i="10"/>
  <c r="D12" i="10"/>
  <c r="D19" i="10"/>
  <c r="D24" i="10"/>
  <c r="D10" i="10"/>
  <c r="D13" i="10"/>
  <c r="D26" i="10"/>
  <c r="D11" i="10"/>
  <c r="C30" i="10"/>
  <c r="D21" i="10"/>
  <c r="D16" i="10"/>
  <c r="D22" i="10"/>
  <c r="I660" i="1"/>
  <c r="I664" i="1" s="1"/>
  <c r="I672" i="1" s="1"/>
  <c r="C7" i="10" s="1"/>
  <c r="G667" i="1"/>
  <c r="G672" i="1"/>
  <c r="C5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<sst xmlns="http://schemas.openxmlformats.org/spreadsheetml/2006/main" count="3974" uniqueCount="912">
  <si>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</si>
  <si>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</si>
  <si>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</si>
  <si>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</si>
  <si>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</si>
  <si>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</si>
  <si>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</si>
  <si>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</si>
  <si>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</si>
  <si>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</si>
  <si>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</si>
  <si>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</si>
  <si>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</si>
  <si>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</si>
  <si>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</si>
  <si>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</si>
  <si>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</si>
  <si>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</si>
  <si>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</si>
  <si>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</si>
  <si>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</si>
  <si>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</si>
  <si>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</si>
  <si>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</si>
  <si>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</si>
  <si>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</si>
  <si>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</si>
  <si>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</si>
  <si>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</si>
  <si>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</si>
  <si>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</si>
  <si>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</si>
  <si>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</si>
  <si>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</si>
  <si>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</si>
  <si>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</si>
  <si>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</si>
  <si>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</si>
  <si>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</si>
  <si>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</si>
  <si>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</si>
  <si>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</si>
  <si>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</si>
  <si>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</si>
  <si>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</si>
  <si>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</si>
  <si>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</si>
  <si>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</si>
  <si>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</si>
  <si>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</si>
  <si>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</si>
  <si>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</si>
  <si>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</si>
  <si>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</si>
  <si>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</si>
  <si>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</si>
  <si>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</si>
  <si>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</si>
  <si>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</si>
  <si>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</si>
  <si>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</si>
  <si>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</si>
  <si>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</si>
  <si>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</si>
  <si>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</si>
  <si>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</si>
  <si>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</si>
  <si>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</si>
  <si>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</si>
  <si>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</si>
  <si>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</si>
  <si>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</si>
  <si>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</si>
  <si>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</si>
  <si>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</si>
  <si>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</si>
  <si>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</si>
  <si>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</si>
  <si>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</si>
  <si>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</si>
  <si>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</si>
  <si>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</si>
  <si>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</si>
  <si>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</si>
  <si>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</si>
  <si>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</si>
  <si>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</si>
  <si>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</si>
  <si>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</si>
  <si>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</si>
  <si>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</si>
  <si>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</si>
  <si>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</si>
  <si>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</si>
  <si>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</si>
  <si>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</si>
  <si>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</si>
  <si>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</si>
  <si>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</si>
  <si>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</si>
  <si>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</si>
  <si>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</si>
  <si>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</si>
  <si>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</si>
  <si>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</si>
  <si>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</si>
  <si>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</si>
  <si>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</si>
  <si>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</si>
  <si>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</si>
  <si>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</si>
  <si>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</si>
  <si>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</si>
  <si>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</si>
  <si>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</si>
  <si>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</si>
  <si>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</si>
  <si>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</si>
  <si>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</si>
  <si>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</si>
  <si>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</si>
  <si>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</si>
  <si>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</si>
  <si>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</si>
  <si>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</si>
  <si>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</si>
  <si>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</si>
  <si>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</si>
  <si>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</si>
  <si>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</si>
  <si>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</si>
  <si>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</si>
  <si>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</si>
  <si>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</si>
  <si>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</si>
  <si>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</si>
  <si>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</si>
  <si>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</si>
  <si>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</si>
  <si>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</si>
  <si>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</si>
  <si>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</si>
  <si>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</si>
  <si>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</si>
  <si>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</si>
  <si>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</si>
  <si>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</si>
  <si>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</si>
  <si>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</si>
  <si>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</si>
  <si>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</si>
  <si>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</si>
  <si>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</si>
  <si>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</si>
  <si>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</si>
  <si>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</si>
  <si>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</si>
  <si>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</si>
  <si>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</si>
  <si>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</si>
  <si>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</si>
  <si>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</si>
  <si>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</si>
  <si>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</si>
  <si>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</si>
  <si>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</si>
  <si>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</si>
  <si>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</si>
  <si>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</si>
  <si>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</si>
  <si>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</si>
  <si>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</si>
  <si>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</si>
  <si>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</si>
  <si>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</si>
  <si>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</si>
  <si>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</si>
  <si>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</si>
  <si>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</si>
  <si>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</si>
  <si>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</si>
  <si>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</si>
  <si>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</si>
  <si>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</si>
  <si>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</si>
  <si>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</si>
  <si>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</si>
  <si>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</si>
  <si>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</si>
  <si>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</si>
  <si>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</si>
  <si>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</si>
  <si>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</si>
  <si>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</si>
  <si>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</si>
  <si>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</si>
  <si>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</si>
  <si>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</si>
  <si>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</si>
  <si>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</si>
  <si>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</si>
  <si>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</si>
  <si>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</si>
  <si>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</si>
  <si>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</si>
  <si>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</si>
  <si>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</si>
  <si>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</si>
  <si>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</si>
  <si>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</si>
  <si>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</si>
  <si>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</si>
  <si>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</si>
  <si>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</si>
  <si>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</si>
  <si>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</si>
  <si>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</si>
  <si>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</si>
  <si>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</si>
  <si>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</si>
  <si>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</si>
  <si>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</si>
  <si>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</si>
  <si>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</si>
  <si>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</si>
  <si>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</si>
  <si>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</si>
  <si>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</si>
  <si>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</si>
  <si>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</si>
  <si>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</si>
  <si>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</si>
  <si>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</si>
  <si>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</si>
  <si>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</si>
  <si>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</si>
  <si>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</si>
  <si>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</si>
  <si>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</si>
  <si>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</si>
  <si>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</si>
  <si>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</si>
  <si>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</si>
  <si>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</si>
  <si>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</si>
  <si>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</si>
  <si>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</si>
  <si>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</si>
  <si>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</si>
  <si>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</si>
  <si>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</si>
  <si>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</si>
  <si>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</si>
  <si>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</si>
  <si>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</si>
  <si>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</si>
  <si>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</si>
  <si>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</si>
  <si>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</si>
  <si>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</si>
  <si>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</si>
  <si>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</si>
  <si>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</si>
  <si>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</si>
  <si>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</si>
  <si>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</si>
  <si>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</si>
  <si>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</si>
  <si>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</si>
  <si>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</si>
  <si>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</si>
  <si>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</si>
  <si>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</si>
  <si>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</si>
  <si>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</si>
  <si>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</si>
  <si>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</si>
  <si>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</si>
  <si>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</si>
  <si>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</si>
  <si>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</si>
  <si>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</si>
  <si>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</si>
  <si>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</si>
  <si>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</si>
  <si>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</si>
  <si>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</si>
  <si>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</si>
  <si>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</si>
  <si>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</si>
  <si>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</si>
  <si>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</si>
  <si>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</si>
  <si>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</si>
  <si>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</si>
  <si>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</si>
  <si>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</si>
  <si>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</si>
  <si>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</si>
  <si>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</si>
  <si>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</si>
  <si>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</si>
  <si>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</si>
  <si>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</si>
  <si>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</si>
  <si>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</si>
  <si>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</si>
  <si>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</si>
  <si>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</si>
  <si>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</si>
  <si>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</si>
  <si>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</si>
  <si>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</si>
  <si>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</si>
  <si>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</si>
  <si>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</si>
  <si>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</si>
  <si>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</si>
  <si>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</si>
  <si>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</si>
  <si>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</si>
  <si>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</si>
  <si>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</si>
  <si>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</si>
  <si>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</si>
  <si>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</si>
  <si>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</si>
  <si>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</si>
  <si>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</si>
  <si>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</si>
  <si>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</si>
  <si>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</si>
  <si>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</si>
  <si>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</si>
  <si>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</si>
  <si>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</si>
  <si>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</si>
  <si>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</si>
  <si>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</si>
  <si>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</si>
  <si>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</si>
  <si>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</si>
  <si>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</si>
  <si>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</si>
  <si>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</si>
  <si>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</si>
  <si>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</si>
  <si>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</si>
  <si>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</si>
  <si>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</si>
  <si>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</si>
  <si>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</si>
  <si>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</si>
  <si>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</si>
  <si>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</si>
  <si>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</si>
  <si>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</si>
  <si>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</si>
  <si>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</si>
  <si>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</si>
  <si>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</si>
  <si>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</si>
  <si>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</si>
  <si>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</si>
  <si>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</si>
  <si>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</si>
  <si>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</si>
  <si>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</si>
  <si>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</si>
  <si>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</si>
  <si>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</si>
  <si>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</si>
  <si>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</si>
  <si>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</si>
  <si>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</si>
  <si>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</si>
  <si>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</si>
  <si>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</si>
  <si>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</si>
  <si>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</si>
  <si>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</si>
  <si>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</si>
  <si>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</si>
  <si>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</si>
  <si>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</si>
  <si>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</si>
  <si>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</si>
  <si>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</si>
  <si>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</si>
  <si>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</si>
  <si>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</si>
  <si>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</si>
  <si>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</si>
  <si>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</si>
  <si>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</si>
  <si>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</si>
  <si>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</si>
  <si>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</si>
  <si>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</si>
  <si>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</si>
  <si>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</si>
  <si>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</si>
  <si>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</si>
  <si>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</si>
  <si>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</si>
  <si>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</si>
  <si>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</si>
  <si>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</si>
  <si>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</si>
  <si>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</si>
  <si>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</si>
  <si>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</si>
  <si>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</si>
  <si>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</si>
  <si>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</si>
  <si>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</si>
  <si>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</si>
  <si>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</si>
  <si>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</si>
  <si>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</si>
  <si>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</si>
  <si>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</si>
  <si>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</si>
  <si>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</si>
  <si>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</si>
  <si>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</si>
  <si>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</si>
  <si>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</si>
  <si>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</si>
  <si>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</si>
  <si>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</si>
  <si>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</si>
  <si>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</si>
  <si>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</si>
  <si>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</si>
  <si>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</si>
  <si>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</si>
  <si>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</si>
  <si>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</si>
  <si>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</si>
  <si>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</si>
  <si>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</si>
  <si>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</si>
  <si>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</si>
  <si>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</si>
  <si>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</si>
  <si>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</si>
  <si>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</si>
  <si>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</si>
  <si>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</si>
  <si>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</si>
  <si>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</si>
  <si>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</si>
  <si>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</si>
  <si>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</si>
  <si>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</si>
  <si>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</si>
  <si>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</si>
  <si>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</si>
  <si>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</si>
  <si>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</si>
  <si>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</si>
  <si>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</si>
  <si>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</si>
  <si>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</si>
  <si>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</si>
  <si>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</si>
  <si>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</si>
  <si>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</si>
  <si>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</si>
  <si>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</si>
  <si>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</si>
  <si>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</si>
  <si>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</si>
  <si>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</si>
  <si>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</si>
  <si>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</si>
  <si>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</si>
  <si>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</si>
  <si>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</si>
  <si>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</si>
  <si>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</si>
  <si>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</si>
  <si>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</si>
  <si>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</si>
  <si>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</si>
  <si>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</si>
  <si>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</si>
  <si>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</si>
  <si>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</si>
  <si>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</si>
  <si>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</si>
  <si>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</si>
  <si>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</si>
  <si>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</si>
  <si>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</si>
  <si>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</si>
  <si>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</si>
  <si>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</si>
  <si>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</si>
  <si>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</si>
  <si>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</si>
  <si>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</si>
  <si>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</si>
  <si>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</si>
  <si>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</si>
  <si>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</si>
  <si>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</si>
  <si>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</si>
  <si>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</si>
  <si>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</si>
  <si>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</si>
  <si>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</si>
  <si>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</si>
  <si>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</si>
  <si>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</si>
  <si>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</si>
  <si>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</si>
  <si>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</si>
  <si>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</si>
  <si>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</si>
  <si>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</si>
  <si>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</si>
  <si>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</si>
  <si>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</si>
  <si>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</si>
  <si>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</si>
  <si>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</si>
  <si>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</si>
  <si>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</si>
  <si>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</si>
  <si>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</si>
  <si>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</si>
  <si>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</si>
  <si>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</si>
  <si>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</si>
  <si>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</si>
  <si>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</si>
  <si>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</si>
  <si>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</si>
  <si>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</si>
  <si>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</si>
  <si>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</si>
  <si>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</si>
  <si>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</si>
  <si>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</si>
  <si>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</si>
  <si>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</si>
  <si>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</si>
  <si>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</si>
  <si>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</si>
  <si>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</si>
  <si>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</si>
  <si>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</si>
  <si>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</si>
  <si>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</si>
  <si>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</si>
  <si>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</si>
  <si>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</si>
  <si>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</si>
  <si>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</si>
  <si>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</si>
  <si>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</si>
  <si>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</si>
  <si>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</si>
  <si>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</si>
  <si>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</si>
  <si>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</si>
  <si>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</si>
  <si>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</si>
  <si>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</si>
  <si>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</si>
  <si>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</si>
  <si>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</si>
  <si>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</si>
  <si>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</si>
  <si>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</si>
  <si>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</si>
  <si>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</si>
  <si>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</si>
  <si>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</si>
  <si>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</si>
  <si>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</si>
  <si>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</si>
  <si>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</si>
  <si>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</si>
  <si>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</si>
  <si>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</si>
  <si>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</si>
  <si>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</si>
  <si>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</si>
  <si>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</si>
  <si>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</si>
  <si>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</si>
  <si>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</si>
  <si>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</si>
  <si>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</si>
  <si>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</si>
  <si>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</si>
  <si>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</si>
  <si>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</si>
  <si>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</si>
  <si>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</si>
  <si>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</si>
  <si>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</si>
  <si>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</si>
  <si>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</si>
  <si>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</si>
  <si>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</si>
  <si>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</si>
  <si>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</si>
  <si>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</si>
  <si>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</si>
  <si>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</si>
  <si>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</si>
  <si>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</si>
  <si>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</si>
  <si>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</si>
  <si>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</si>
  <si>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</si>
  <si>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</si>
  <si>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</si>
  <si>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</si>
  <si>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</si>
  <si>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</si>
  <si>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</si>
  <si>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</si>
  <si>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</si>
  <si>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</si>
  <si>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</si>
  <si>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</si>
  <si>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</si>
  <si>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</si>
  <si>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</si>
  <si>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</si>
  <si>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</si>
  <si>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</si>
  <si>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</si>
  <si>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</si>
  <si>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</si>
  <si>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</si>
  <si>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</si>
  <si>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</si>
  <si>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</si>
  <si>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</si>
  <si>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</si>
  <si>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</si>
  <si>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</si>
  <si>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</si>
  <si>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</si>
  <si>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</si>
  <si>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</si>
  <si>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</si>
  <si>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</si>
  <si>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</si>
  <si>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</si>
  <si>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</si>
  <si>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</si>
  <si>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</si>
  <si>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</si>
  <si>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</si>
  <si>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</si>
  <si>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</si>
  <si>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</si>
  <si>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</si>
  <si>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</si>
  <si>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</si>
  <si>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</si>
  <si>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</si>
  <si>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</si>
  <si>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</si>
  <si>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</si>
  <si>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</si>
  <si>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</si>
  <si>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</si>
  <si>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</si>
  <si>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</si>
  <si>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</si>
  <si>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</si>
  <si>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</si>
  <si>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</si>
  <si>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</si>
  <si>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</si>
  <si>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</si>
  <si>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</si>
  <si>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</si>
  <si>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</si>
  <si>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</si>
  <si>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</si>
  <si>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</si>
  <si>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</si>
  <si>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</si>
  <si>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</si>
  <si>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</si>
  <si>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</si>
  <si>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</si>
  <si>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</si>
  <si>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</si>
  <si>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</si>
  <si>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</si>
  <si>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</si>
  <si>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</si>
  <si>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</si>
  <si>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</si>
  <si>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</si>
  <si>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</si>
  <si>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</si>
  <si>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</si>
  <si>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</si>
  <si>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</si>
  <si>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</si>
  <si>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</si>
  <si>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</si>
  <si>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</si>
  <si>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</si>
  <si>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</si>
  <si>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</si>
  <si>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</si>
  <si>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</si>
  <si>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</si>
  <si>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</si>
  <si>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</si>
  <si>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</si>
  <si>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</si>
  <si>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</si>
  <si>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</si>
  <si>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</si>
  <si>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</si>
  <si>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</si>
  <si>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</si>
  <si>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</si>
  <si>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</si>
  <si>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</si>
  <si>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</si>
  <si>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</si>
  <si>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</si>
  <si>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</si>
  <si>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</si>
  <si>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</si>
  <si>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</si>
  <si>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</si>
  <si>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</si>
  <si>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</si>
  <si>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</si>
  <si>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</si>
  <si>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</si>
  <si>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</si>
  <si>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</si>
  <si>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</si>
  <si>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</si>
  <si>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</si>
  <si>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</si>
  <si>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</si>
  <si>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</si>
  <si>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</si>
  <si>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</si>
  <si>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</si>
  <si>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</si>
  <si>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</si>
  <si>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</si>
  <si>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</si>
  <si>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</si>
  <si>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</si>
  <si>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</si>
  <si>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</si>
  <si>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</si>
  <si>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</si>
  <si>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</si>
  <si>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</si>
  <si>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</si>
  <si>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</si>
  <si>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</si>
  <si>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</si>
  <si>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</si>
  <si>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</si>
  <si>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</si>
  <si>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</si>
  <si>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</si>
  <si>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</si>
  <si>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</si>
  <si>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</si>
  <si>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</si>
  <si>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</si>
  <si>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</si>
  <si>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</si>
  <si>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</si>
  <si>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</si>
  <si>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</si>
  <si>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</si>
  <si>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</si>
  <si>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</si>
  <si>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</si>
  <si>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</si>
  <si>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</si>
  <si>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</si>
  <si>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</si>
  <si>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</si>
  <si>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</si>
  <si>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</si>
  <si>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</si>
  <si>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</si>
  <si>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</si>
  <si>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</si>
  <si>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</si>
  <si>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</si>
  <si>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</si>
  <si>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</si>
  <si>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</si>
  <si>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</si>
  <si>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</si>
  <si>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</si>
  <si>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</si>
  <si>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</si>
  <si>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</si>
  <si>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</si>
  <si>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</si>
  <si>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</si>
  <si>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</si>
  <si>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</si>
  <si>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</si>
  <si>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</si>
  <si>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</si>
  <si>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</si>
  <si>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</si>
  <si>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</si>
  <si>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</si>
  <si>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</si>
  <si>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</si>
  <si>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</si>
  <si>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</si>
  <si>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</si>
  <si>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</si>
  <si>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</si>
  <si>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</si>
  <si>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</si>
  <si>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</si>
  <si>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</si>
  <si>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</si>
  <si>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</si>
  <si>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</si>
  <si>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</si>
  <si>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</si>
  <si>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</si>
  <si>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</si>
  <si>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</si>
  <si>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</si>
  <si>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</si>
  <si>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</si>
  <si>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</si>
  <si>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</si>
  <si>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</si>
  <si>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</si>
  <si>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</si>
  <si>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</si>
  <si>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</si>
  <si>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</si>
  <si>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</si>
  <si>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</si>
  <si>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</si>
  <si>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</si>
  <si>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</si>
  <si>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</si>
  <si>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</si>
  <si>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</si>
  <si>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</si>
  <si>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</si>
  <si>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</si>
  <si>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</si>
  <si>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</si>
  <si>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</si>
  <si>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</si>
  <si>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</si>
  <si>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</si>
  <si>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</si>
  <si>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</si>
  <si>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</si>
  <si>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</si>
  <si>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</si>
  <si>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</si>
  <si>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</si>
  <si>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</si>
  <si>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</si>
  <si>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</si>
  <si>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</si>
  <si>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</si>
  <si>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</si>
  <si>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</si>
  <si>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</si>
  <si>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</si>
  <si>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</si>
  <si>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</si>
  <si>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</si>
  <si>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</si>
  <si>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</si>
  <si>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</si>
  <si>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</si>
  <si>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</si>
  <si>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</si>
  <si>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</si>
  <si>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</si>
  <si>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</si>
  <si>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</si>
  <si>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</si>
  <si>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</si>
  <si>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</si>
  <si>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</si>
  <si>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</si>
  <si>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</si>
  <si>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</si>
  <si>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</si>
  <si>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</si>
  <si>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MARLOW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</si>
</sst>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0" fontId="2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09" activePane="bottomRight" state="frozen"/>
      <selection pane="topRight" activeCell="F1" sqref="F1"/>
      <selection pane="bottomLeft" activeCell="A4" sqref="A4"/>
      <selection pane="bottomRight" activeCell="H531" sqref="H53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341</v>
      </c>
      <c r="C2" s="21">
        <v>341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833.93-8601.72</f>
        <v>-7767.7899999999991</v>
      </c>
      <c r="G9" s="18"/>
      <c r="H9" s="18">
        <v>0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385810.03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6488.81</v>
      </c>
      <c r="G12" s="18">
        <v>0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21385.9</v>
      </c>
      <c r="G13" s="18"/>
      <c r="H13" s="18">
        <v>6488.81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1000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21106.920000000002</v>
      </c>
      <c r="G19" s="41">
        <f>SUM(G9:G18)</f>
        <v>0</v>
      </c>
      <c r="H19" s="41">
        <f>SUM(H9:H18)</f>
        <v>6488.81</v>
      </c>
      <c r="I19" s="41">
        <f>SUM(I9:I18)</f>
        <v>0</v>
      </c>
      <c r="J19" s="41">
        <f>SUM(J9:J18)</f>
        <v>385810.03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6488.81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4368.4399999999996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7243.15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4866.01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16477.599999999999</v>
      </c>
      <c r="G32" s="41">
        <f>SUM(G22:G31)</f>
        <v>0</v>
      </c>
      <c r="H32" s="41">
        <f>SUM(H22:H31)</f>
        <v>6488.81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1000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3629.32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385810.03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4629.32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385810.03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21106.92</v>
      </c>
      <c r="G52" s="41">
        <f>G51+G32</f>
        <v>0</v>
      </c>
      <c r="H52" s="41">
        <f>H51+H32</f>
        <v>6488.81</v>
      </c>
      <c r="I52" s="41">
        <f>I51+I32</f>
        <v>0</v>
      </c>
      <c r="J52" s="41">
        <f>J51+J32</f>
        <v>385810.03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861141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861141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110.92</v>
      </c>
      <c r="G96" s="18"/>
      <c r="H96" s="18"/>
      <c r="I96" s="18"/>
      <c r="J96" s="18">
        <v>2504.73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9110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12551.4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1334.52+4681.89</f>
        <v>6016.41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27788.73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2504.73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888929.73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2504.73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568742.18999999994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148447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717189.19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1567.48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1567.48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718756.66999999993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592.25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127.28+5846.91</f>
        <v>5974.19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9907.98+8059.51</f>
        <v>17967.489999999998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22.13+10034.16</f>
        <v>10056.289999999999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50220.11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50220.11</v>
      </c>
      <c r="G162" s="41">
        <f>SUM(G150:G161)</f>
        <v>0</v>
      </c>
      <c r="H162" s="41">
        <f>SUM(H150:H161)</f>
        <v>34590.219999999994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50220.11</v>
      </c>
      <c r="G169" s="41">
        <f>G147+G162+SUM(G163:G168)</f>
        <v>0</v>
      </c>
      <c r="H169" s="41">
        <f>H147+H162+SUM(H163:H168)</f>
        <v>34590.219999999994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2850.4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2850.4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2850.4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1657906.51</v>
      </c>
      <c r="G193" s="47">
        <f>G112+G140+G169+G192</f>
        <v>2850.4</v>
      </c>
      <c r="H193" s="47">
        <f>H112+H140+H169+H192</f>
        <v>34590.219999999994</v>
      </c>
      <c r="I193" s="47">
        <f>I112+I140+I169+I192</f>
        <v>0</v>
      </c>
      <c r="J193" s="47">
        <f>J112+J140+J192</f>
        <v>2504.73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187337.91</v>
      </c>
      <c r="G197" s="18">
        <v>80924.990000000005</v>
      </c>
      <c r="H197" s="18">
        <v>8387.2199999999993</v>
      </c>
      <c r="I197" s="18">
        <v>6143.61</v>
      </c>
      <c r="J197" s="18">
        <v>395.37</v>
      </c>
      <c r="K197" s="18">
        <v>578.91</v>
      </c>
      <c r="L197" s="19">
        <f>SUM(F197:K197)</f>
        <v>283768.00999999995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76279.12</v>
      </c>
      <c r="G198" s="18">
        <v>15514.31</v>
      </c>
      <c r="H198" s="18">
        <v>35285.15</v>
      </c>
      <c r="I198" s="18">
        <v>687.06</v>
      </c>
      <c r="J198" s="18"/>
      <c r="K198" s="18"/>
      <c r="L198" s="19">
        <f>SUM(F198:K198)</f>
        <v>127765.63999999998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5000</v>
      </c>
      <c r="G202" s="18">
        <v>409</v>
      </c>
      <c r="H202" s="18">
        <f>12858.75+32025+16897.89+2564.44+22123.6</f>
        <v>86469.68</v>
      </c>
      <c r="I202" s="18">
        <f>148.96+435.79</f>
        <v>584.75</v>
      </c>
      <c r="J202" s="18"/>
      <c r="K202" s="18"/>
      <c r="L202" s="19">
        <f t="shared" ref="L202:L208" si="0">SUM(F202:K202)</f>
        <v>92463.43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12045.93+300</f>
        <v>12345.93</v>
      </c>
      <c r="G203" s="18">
        <f>985.37+67.02</f>
        <v>1052.3900000000001</v>
      </c>
      <c r="H203" s="18">
        <v>1893.01</v>
      </c>
      <c r="I203" s="18">
        <f>77.93+194.64</f>
        <v>272.57</v>
      </c>
      <c r="J203" s="18"/>
      <c r="K203" s="18"/>
      <c r="L203" s="19">
        <f t="shared" si="0"/>
        <v>15563.9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1600+1750</f>
        <v>3350</v>
      </c>
      <c r="G204" s="18">
        <f>6000+143.16+130.88</f>
        <v>6274.04</v>
      </c>
      <c r="H204" s="18">
        <f>189.85+50+100+5900+150+50+51188</f>
        <v>57627.85</v>
      </c>
      <c r="I204" s="18">
        <v>98</v>
      </c>
      <c r="J204" s="18"/>
      <c r="K204" s="18"/>
      <c r="L204" s="19">
        <f t="shared" si="0"/>
        <v>67349.89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65034.22</v>
      </c>
      <c r="G205" s="18">
        <v>30316.080000000002</v>
      </c>
      <c r="H205" s="18">
        <v>9447.43</v>
      </c>
      <c r="I205" s="18">
        <v>1907.06</v>
      </c>
      <c r="J205" s="18"/>
      <c r="K205" s="18"/>
      <c r="L205" s="19">
        <f t="shared" si="0"/>
        <v>106704.79000000001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19360.45</v>
      </c>
      <c r="G207" s="18">
        <v>2095.2199999999998</v>
      </c>
      <c r="H207" s="18">
        <v>11835.34</v>
      </c>
      <c r="I207" s="18">
        <v>18876.509999999998</v>
      </c>
      <c r="J207" s="18"/>
      <c r="K207" s="18"/>
      <c r="L207" s="19">
        <f t="shared" si="0"/>
        <v>52167.520000000004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22252.5+35122</f>
        <v>57374.5</v>
      </c>
      <c r="I208" s="18"/>
      <c r="J208" s="18"/>
      <c r="K208" s="18"/>
      <c r="L208" s="19">
        <f t="shared" si="0"/>
        <v>57374.5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11102</v>
      </c>
      <c r="H209" s="18">
        <v>451.5</v>
      </c>
      <c r="I209" s="18"/>
      <c r="J209" s="18"/>
      <c r="K209" s="18"/>
      <c r="L209" s="19">
        <f>SUM(F209:K209)</f>
        <v>11553.5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368707.63000000006</v>
      </c>
      <c r="G211" s="41">
        <f t="shared" si="1"/>
        <v>147688.03</v>
      </c>
      <c r="H211" s="41">
        <f t="shared" si="1"/>
        <v>268771.68</v>
      </c>
      <c r="I211" s="41">
        <f t="shared" si="1"/>
        <v>28569.559999999998</v>
      </c>
      <c r="J211" s="41">
        <f t="shared" si="1"/>
        <v>395.37</v>
      </c>
      <c r="K211" s="41">
        <f t="shared" si="1"/>
        <v>578.91</v>
      </c>
      <c r="L211" s="41">
        <f t="shared" si="1"/>
        <v>814711.17999999993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127743.61</v>
      </c>
      <c r="I215" s="18"/>
      <c r="J215" s="18"/>
      <c r="K215" s="18"/>
      <c r="L215" s="19">
        <f>SUM(F215:K215)</f>
        <v>127743.61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176246.78</v>
      </c>
      <c r="I216" s="18"/>
      <c r="J216" s="18"/>
      <c r="K216" s="18"/>
      <c r="L216" s="19">
        <f>SUM(F216:K216)</f>
        <v>176246.78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 t="s">
        <v>287</v>
      </c>
      <c r="G220" s="18" t="s">
        <v>287</v>
      </c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 t="s">
        <v>287</v>
      </c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 t="s">
        <v>287</v>
      </c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 t="s">
        <v>287</v>
      </c>
      <c r="G223" s="18" t="s">
        <v>287</v>
      </c>
      <c r="H223" s="18" t="s">
        <v>287</v>
      </c>
      <c r="I223" s="18" t="s">
        <v>287</v>
      </c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 t="s">
        <v>287</v>
      </c>
      <c r="G225" s="18" t="s">
        <v>287</v>
      </c>
      <c r="H225" s="18" t="s">
        <v>287</v>
      </c>
      <c r="I225" s="18" t="s">
        <v>287</v>
      </c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20967</v>
      </c>
      <c r="I226" s="18"/>
      <c r="J226" s="18"/>
      <c r="K226" s="18"/>
      <c r="L226" s="19">
        <f t="shared" si="2"/>
        <v>20967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 t="s">
        <v>287</v>
      </c>
      <c r="H227" s="18" t="s">
        <v>287</v>
      </c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324957.39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324957.39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338638.99</v>
      </c>
      <c r="I233" s="18"/>
      <c r="J233" s="18"/>
      <c r="K233" s="18"/>
      <c r="L233" s="19">
        <f>SUM(F233:K233)</f>
        <v>338638.99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128023.13</v>
      </c>
      <c r="I234" s="18"/>
      <c r="J234" s="18"/>
      <c r="K234" s="18"/>
      <c r="L234" s="19">
        <f>SUM(F234:K234)</f>
        <v>128023.13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18943.6+25415</f>
        <v>44358.6</v>
      </c>
      <c r="I244" s="18"/>
      <c r="J244" s="18"/>
      <c r="K244" s="18"/>
      <c r="L244" s="19">
        <f t="shared" si="4"/>
        <v>44358.6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511020.72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511020.72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368707.63000000006</v>
      </c>
      <c r="G257" s="41">
        <f t="shared" si="8"/>
        <v>147688.03</v>
      </c>
      <c r="H257" s="41">
        <f t="shared" si="8"/>
        <v>1104749.79</v>
      </c>
      <c r="I257" s="41">
        <f t="shared" si="8"/>
        <v>28569.559999999998</v>
      </c>
      <c r="J257" s="41">
        <f t="shared" si="8"/>
        <v>395.37</v>
      </c>
      <c r="K257" s="41">
        <f t="shared" si="8"/>
        <v>578.91</v>
      </c>
      <c r="L257" s="41">
        <f t="shared" si="8"/>
        <v>1650689.2899999998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2850.4</v>
      </c>
      <c r="L263" s="19">
        <f>SUM(F263:K263)</f>
        <v>2850.4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2850.4</v>
      </c>
      <c r="L270" s="41">
        <f t="shared" si="9"/>
        <v>2850.4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368707.63000000006</v>
      </c>
      <c r="G271" s="42">
        <f t="shared" si="11"/>
        <v>147688.03</v>
      </c>
      <c r="H271" s="42">
        <f t="shared" si="11"/>
        <v>1104749.79</v>
      </c>
      <c r="I271" s="42">
        <f t="shared" si="11"/>
        <v>28569.559999999998</v>
      </c>
      <c r="J271" s="42">
        <f t="shared" si="11"/>
        <v>395.37</v>
      </c>
      <c r="K271" s="42">
        <f t="shared" si="11"/>
        <v>3429.31</v>
      </c>
      <c r="L271" s="42">
        <f t="shared" si="11"/>
        <v>1653539.6899999997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4341.99</v>
      </c>
      <c r="G276" s="18">
        <f>332.14+23.01</f>
        <v>355.15</v>
      </c>
      <c r="H276" s="18"/>
      <c r="I276" s="18">
        <f>1176.61+592.25+1106.37</f>
        <v>2875.2299999999996</v>
      </c>
      <c r="J276" s="18">
        <v>6476</v>
      </c>
      <c r="K276" s="18"/>
      <c r="L276" s="19">
        <f>SUM(F276:K276)</f>
        <v>14048.369999999999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f>4382.85+1343.82+1631.99</f>
        <v>7358.66</v>
      </c>
      <c r="J277" s="18">
        <v>1678</v>
      </c>
      <c r="K277" s="18"/>
      <c r="L277" s="19">
        <f>SUM(F277:K277)</f>
        <v>9036.66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>
        <v>200</v>
      </c>
      <c r="L281" s="19">
        <f t="shared" ref="L281:L287" si="12">SUM(F281:K281)</f>
        <v>200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1590</v>
      </c>
      <c r="G282" s="18">
        <f>121.64+199.64+7.2</f>
        <v>328.47999999999996</v>
      </c>
      <c r="H282" s="18">
        <v>997.5</v>
      </c>
      <c r="I282" s="18">
        <f>4680.13+1173.35</f>
        <v>5853.48</v>
      </c>
      <c r="J282" s="18"/>
      <c r="K282" s="18"/>
      <c r="L282" s="19">
        <f t="shared" si="12"/>
        <v>8769.4599999999991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867</v>
      </c>
      <c r="I283" s="18"/>
      <c r="J283" s="18">
        <v>1149</v>
      </c>
      <c r="K283" s="18"/>
      <c r="L283" s="19">
        <f t="shared" si="12"/>
        <v>2016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287.55+127.28+22.13+82.77</f>
        <v>519.73</v>
      </c>
      <c r="L285" s="19">
        <f t="shared" si="12"/>
        <v>519.73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5931.99</v>
      </c>
      <c r="G290" s="42">
        <f t="shared" si="13"/>
        <v>683.62999999999988</v>
      </c>
      <c r="H290" s="42">
        <f t="shared" si="13"/>
        <v>1864.5</v>
      </c>
      <c r="I290" s="42">
        <f t="shared" si="13"/>
        <v>16087.369999999999</v>
      </c>
      <c r="J290" s="42">
        <f t="shared" si="13"/>
        <v>9303</v>
      </c>
      <c r="K290" s="42">
        <f t="shared" si="13"/>
        <v>719.73</v>
      </c>
      <c r="L290" s="41">
        <f t="shared" si="13"/>
        <v>34590.22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 t="s">
        <v>287</v>
      </c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5931.99</v>
      </c>
      <c r="G338" s="41">
        <f t="shared" si="20"/>
        <v>683.62999999999988</v>
      </c>
      <c r="H338" s="41">
        <f t="shared" si="20"/>
        <v>1864.5</v>
      </c>
      <c r="I338" s="41">
        <f t="shared" si="20"/>
        <v>16087.369999999999</v>
      </c>
      <c r="J338" s="41">
        <f t="shared" si="20"/>
        <v>9303</v>
      </c>
      <c r="K338" s="41">
        <f t="shared" si="20"/>
        <v>719.73</v>
      </c>
      <c r="L338" s="41">
        <f t="shared" si="20"/>
        <v>34590.22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5931.99</v>
      </c>
      <c r="G352" s="41">
        <f>G338</f>
        <v>683.62999999999988</v>
      </c>
      <c r="H352" s="41">
        <f>H338</f>
        <v>1864.5</v>
      </c>
      <c r="I352" s="41">
        <f>I338</f>
        <v>16087.369999999999</v>
      </c>
      <c r="J352" s="41">
        <f>J338</f>
        <v>9303</v>
      </c>
      <c r="K352" s="47">
        <f>K338+K351</f>
        <v>719.73</v>
      </c>
      <c r="L352" s="41">
        <f>L338+L351</f>
        <v>34590.22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2775.75</v>
      </c>
      <c r="I358" s="18">
        <v>74.650000000000006</v>
      </c>
      <c r="J358" s="18"/>
      <c r="K358" s="18"/>
      <c r="L358" s="13">
        <f>SUM(F358:K358)</f>
        <v>2850.4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2775.75</v>
      </c>
      <c r="I362" s="47">
        <f t="shared" si="22"/>
        <v>74.650000000000006</v>
      </c>
      <c r="J362" s="47">
        <f t="shared" si="22"/>
        <v>0</v>
      </c>
      <c r="K362" s="47">
        <f t="shared" si="22"/>
        <v>0</v>
      </c>
      <c r="L362" s="47">
        <f t="shared" si="22"/>
        <v>2850.4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74.650000000000006</v>
      </c>
      <c r="G368" s="63"/>
      <c r="H368" s="63"/>
      <c r="I368" s="56">
        <f>SUM(F368:H368)</f>
        <v>74.650000000000006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74.650000000000006</v>
      </c>
      <c r="G369" s="47">
        <f>SUM(G367:G368)</f>
        <v>0</v>
      </c>
      <c r="H369" s="47">
        <f>SUM(H367:H368)</f>
        <v>0</v>
      </c>
      <c r="I369" s="47">
        <f>SUM(I367:I368)</f>
        <v>74.650000000000006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 t="s">
        <v>287</v>
      </c>
      <c r="H389" s="18">
        <v>655.35</v>
      </c>
      <c r="I389" s="18"/>
      <c r="J389" s="24" t="s">
        <v>289</v>
      </c>
      <c r="K389" s="24" t="s">
        <v>289</v>
      </c>
      <c r="L389" s="56">
        <f t="shared" si="25"/>
        <v>655.35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655.35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655.35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 t="s">
        <v>287</v>
      </c>
      <c r="H398" s="18">
        <v>1519.18</v>
      </c>
      <c r="I398" s="18"/>
      <c r="J398" s="24" t="s">
        <v>289</v>
      </c>
      <c r="K398" s="24" t="s">
        <v>289</v>
      </c>
      <c r="L398" s="56">
        <f t="shared" si="26"/>
        <v>1519.18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 t="s">
        <v>287</v>
      </c>
      <c r="H400" s="18">
        <v>330.2</v>
      </c>
      <c r="I400" s="18"/>
      <c r="J400" s="24" t="s">
        <v>289</v>
      </c>
      <c r="K400" s="24" t="s">
        <v>289</v>
      </c>
      <c r="L400" s="56">
        <f t="shared" si="26"/>
        <v>330.2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1849.38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1849.38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2504.73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2504.73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>
        <v>3389.12</v>
      </c>
      <c r="L424" s="56">
        <f t="shared" si="29"/>
        <v>3389.12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3389.12</v>
      </c>
      <c r="L427" s="47">
        <f t="shared" si="30"/>
        <v>3389.12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3389.12</v>
      </c>
      <c r="L434" s="47">
        <f t="shared" si="32"/>
        <v>3389.12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100861.4</v>
      </c>
      <c r="G440" s="18">
        <v>284948.63</v>
      </c>
      <c r="H440" s="18"/>
      <c r="I440" s="56">
        <f t="shared" si="33"/>
        <v>385810.03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100861.4</v>
      </c>
      <c r="G446" s="13">
        <f>SUM(G439:G445)</f>
        <v>284948.63</v>
      </c>
      <c r="H446" s="13">
        <f>SUM(H439:H445)</f>
        <v>0</v>
      </c>
      <c r="I446" s="13">
        <f>SUM(I439:I445)</f>
        <v>385810.03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100861.4</v>
      </c>
      <c r="G459" s="18">
        <v>284948.63</v>
      </c>
      <c r="H459" s="18"/>
      <c r="I459" s="56">
        <f t="shared" si="34"/>
        <v>385810.03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100861.4</v>
      </c>
      <c r="G460" s="83">
        <f>SUM(G454:G459)</f>
        <v>284948.63</v>
      </c>
      <c r="H460" s="83">
        <f>SUM(H454:H459)</f>
        <v>0</v>
      </c>
      <c r="I460" s="83">
        <f>SUM(I454:I459)</f>
        <v>385810.03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100861.4</v>
      </c>
      <c r="G461" s="42">
        <f>G452+G460</f>
        <v>284948.63</v>
      </c>
      <c r="H461" s="42">
        <f>H452+H460</f>
        <v>0</v>
      </c>
      <c r="I461" s="42">
        <f>I452+I460</f>
        <v>385810.03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262.5</v>
      </c>
      <c r="G465" s="18">
        <v>0</v>
      </c>
      <c r="H465" s="18">
        <v>0</v>
      </c>
      <c r="I465" s="18">
        <v>0</v>
      </c>
      <c r="J465" s="18">
        <v>386694.42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1657906.51</v>
      </c>
      <c r="G468" s="18">
        <v>2850.4</v>
      </c>
      <c r="H468" s="18">
        <v>34590.22</v>
      </c>
      <c r="I468" s="18"/>
      <c r="J468" s="18">
        <v>2504.73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1657906.51</v>
      </c>
      <c r="G470" s="53">
        <f>SUM(G468:G469)</f>
        <v>2850.4</v>
      </c>
      <c r="H470" s="53">
        <f>SUM(H468:H469)</f>
        <v>34590.22</v>
      </c>
      <c r="I470" s="53">
        <f>SUM(I468:I469)</f>
        <v>0</v>
      </c>
      <c r="J470" s="53">
        <f>SUM(J468:J469)</f>
        <v>2504.73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1653539.69</v>
      </c>
      <c r="G472" s="18">
        <v>2850.4</v>
      </c>
      <c r="H472" s="18">
        <v>34590.22</v>
      </c>
      <c r="I472" s="18"/>
      <c r="J472" s="18">
        <v>3389.12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1653539.69</v>
      </c>
      <c r="G474" s="53">
        <f>SUM(G472:G473)</f>
        <v>2850.4</v>
      </c>
      <c r="H474" s="53">
        <f>SUM(H472:H473)</f>
        <v>34590.22</v>
      </c>
      <c r="I474" s="53">
        <f>SUM(I472:I473)</f>
        <v>0</v>
      </c>
      <c r="J474" s="53">
        <f>SUM(J472:J473)</f>
        <v>3389.12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4629.3200000000652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385810.02999999997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35999.92+40279.2</f>
        <v>76279.12</v>
      </c>
      <c r="G521" s="18">
        <f>3772.84+251.56+40.96+125.84+5821.61+5097.62+403.88</f>
        <v>15514.31</v>
      </c>
      <c r="H521" s="301">
        <v>35285.15</v>
      </c>
      <c r="I521" s="18">
        <f>46.56+640.5+4382.85+1343.82+1631.99</f>
        <v>8045.7199999999993</v>
      </c>
      <c r="J521" s="18">
        <v>1678</v>
      </c>
      <c r="K521" s="18"/>
      <c r="L521" s="88">
        <f>SUM(F521:K521)</f>
        <v>136802.29999999999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301">
        <v>176246.78</v>
      </c>
      <c r="I522" s="18"/>
      <c r="J522" s="18"/>
      <c r="K522" s="18"/>
      <c r="L522" s="88">
        <f>SUM(F522:K522)</f>
        <v>176246.78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301">
        <v>128023.13</v>
      </c>
      <c r="I523" s="18"/>
      <c r="J523" s="18"/>
      <c r="K523" s="18"/>
      <c r="L523" s="88">
        <f>SUM(F523:K523)</f>
        <v>128023.13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76279.12</v>
      </c>
      <c r="G524" s="108">
        <f t="shared" ref="G524:L524" si="36">SUM(G521:G523)</f>
        <v>15514.31</v>
      </c>
      <c r="H524" s="108">
        <f t="shared" si="36"/>
        <v>339555.06</v>
      </c>
      <c r="I524" s="108">
        <f t="shared" si="36"/>
        <v>8045.7199999999993</v>
      </c>
      <c r="J524" s="108">
        <f t="shared" si="36"/>
        <v>1678</v>
      </c>
      <c r="K524" s="108">
        <f t="shared" si="36"/>
        <v>0</v>
      </c>
      <c r="L524" s="89">
        <f t="shared" si="36"/>
        <v>441072.20999999996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16897.89+2564.44+22123.6+997.5</f>
        <v>42583.429999999993</v>
      </c>
      <c r="I526" s="18"/>
      <c r="J526" s="18"/>
      <c r="K526" s="18"/>
      <c r="L526" s="88">
        <f>SUM(F526:K526)</f>
        <v>42583.429999999993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42583.429999999993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42583.429999999993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4669</v>
      </c>
      <c r="I531" s="18"/>
      <c r="J531" s="18"/>
      <c r="K531" s="18"/>
      <c r="L531" s="88">
        <f>SUM(F531:K531)</f>
        <v>4669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4669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4669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22252.5</v>
      </c>
      <c r="I541" s="18"/>
      <c r="J541" s="18"/>
      <c r="K541" s="18"/>
      <c r="L541" s="88">
        <f>SUM(F541:K541)</f>
        <v>22252.5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11489</v>
      </c>
      <c r="I542" s="18"/>
      <c r="J542" s="18"/>
      <c r="K542" s="18"/>
      <c r="L542" s="88">
        <f>SUM(F542:K542)</f>
        <v>11489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25415</v>
      </c>
      <c r="I543" s="18"/>
      <c r="J543" s="18"/>
      <c r="K543" s="18"/>
      <c r="L543" s="88">
        <f>SUM(F543:K543)</f>
        <v>25415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59156.5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59156.5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76279.12</v>
      </c>
      <c r="G545" s="89">
        <f t="shared" ref="G545:L545" si="41">G524+G529+G534+G539+G544</f>
        <v>15514.31</v>
      </c>
      <c r="H545" s="89">
        <f t="shared" si="41"/>
        <v>445963.99</v>
      </c>
      <c r="I545" s="89">
        <f t="shared" si="41"/>
        <v>8045.7199999999993</v>
      </c>
      <c r="J545" s="89">
        <f t="shared" si="41"/>
        <v>1678</v>
      </c>
      <c r="K545" s="89">
        <f t="shared" si="41"/>
        <v>0</v>
      </c>
      <c r="L545" s="89">
        <f t="shared" si="41"/>
        <v>547481.1399999999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136802.29999999999</v>
      </c>
      <c r="G549" s="87">
        <f>L526</f>
        <v>42583.429999999993</v>
      </c>
      <c r="H549" s="87">
        <f>L531</f>
        <v>4669</v>
      </c>
      <c r="I549" s="87">
        <f>L536</f>
        <v>0</v>
      </c>
      <c r="J549" s="87">
        <f>L541</f>
        <v>22252.5</v>
      </c>
      <c r="K549" s="87">
        <f>SUM(F549:J549)</f>
        <v>206307.22999999998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176246.78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11489</v>
      </c>
      <c r="K550" s="87">
        <f>SUM(F550:J550)</f>
        <v>187735.78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128023.13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25415</v>
      </c>
      <c r="K551" s="87">
        <f>SUM(F551:J551)</f>
        <v>153438.13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441072.20999999996</v>
      </c>
      <c r="G552" s="89">
        <f t="shared" si="42"/>
        <v>42583.429999999993</v>
      </c>
      <c r="H552" s="89">
        <f t="shared" si="42"/>
        <v>4669</v>
      </c>
      <c r="I552" s="89">
        <f t="shared" si="42"/>
        <v>0</v>
      </c>
      <c r="J552" s="89">
        <f t="shared" si="42"/>
        <v>59156.5</v>
      </c>
      <c r="K552" s="89">
        <f t="shared" si="42"/>
        <v>547481.14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127743.61</v>
      </c>
      <c r="H575" s="18">
        <v>338638.99</v>
      </c>
      <c r="I575" s="87">
        <f>SUM(F575:H575)</f>
        <v>466382.6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 t="s">
        <v>287</v>
      </c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 t="s">
        <v>287</v>
      </c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105491.78</v>
      </c>
      <c r="H579" s="18">
        <v>128023.13</v>
      </c>
      <c r="I579" s="87">
        <f t="shared" si="47"/>
        <v>233514.91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7745.15</v>
      </c>
      <c r="G580" s="18"/>
      <c r="H580" s="18"/>
      <c r="I580" s="87">
        <f t="shared" si="47"/>
        <v>7745.15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27540</v>
      </c>
      <c r="G582" s="18">
        <v>70755</v>
      </c>
      <c r="H582" s="18"/>
      <c r="I582" s="87">
        <f t="shared" si="47"/>
        <v>98295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35122</v>
      </c>
      <c r="I591" s="18">
        <v>9478</v>
      </c>
      <c r="J591" s="18">
        <v>18943.599999999999</v>
      </c>
      <c r="K591" s="104">
        <f t="shared" ref="K591:K597" si="48">SUM(H591:J591)</f>
        <v>63543.6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22252.5</v>
      </c>
      <c r="I592" s="18">
        <v>11489</v>
      </c>
      <c r="J592" s="18">
        <v>25415</v>
      </c>
      <c r="K592" s="104">
        <f t="shared" si="48"/>
        <v>59156.5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57374.5</v>
      </c>
      <c r="I598" s="108">
        <f>SUM(I591:I597)</f>
        <v>20967</v>
      </c>
      <c r="J598" s="108">
        <f>SUM(J591:J597)</f>
        <v>44358.6</v>
      </c>
      <c r="K598" s="108">
        <f>SUM(K591:K597)</f>
        <v>122700.1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6871.37+1678+1149</f>
        <v>9698.369999999999</v>
      </c>
      <c r="I604" s="18"/>
      <c r="J604" s="18"/>
      <c r="K604" s="104">
        <f>SUM(H604:J604)</f>
        <v>9698.369999999999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9698.369999999999</v>
      </c>
      <c r="I605" s="108">
        <f>SUM(I602:I604)</f>
        <v>0</v>
      </c>
      <c r="J605" s="108">
        <f>SUM(J602:J604)</f>
        <v>0</v>
      </c>
      <c r="K605" s="108">
        <f>SUM(K602:K604)</f>
        <v>9698.369999999999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21106.920000000002</v>
      </c>
      <c r="H617" s="109">
        <f>SUM(F52)</f>
        <v>21106.92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6488.81</v>
      </c>
      <c r="H619" s="109">
        <f>SUM(H52)</f>
        <v>6488.81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385810.03</v>
      </c>
      <c r="H621" s="109">
        <f>SUM(J52)</f>
        <v>385810.03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4629.32</v>
      </c>
      <c r="H622" s="109">
        <f>F476</f>
        <v>4629.3200000000652</v>
      </c>
      <c r="I622" s="121" t="s">
        <v>101</v>
      </c>
      <c r="J622" s="109">
        <f t="shared" ref="J622:J655" si="50">G622-H622</f>
        <v>-6.5483618527650833E-11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385810.03</v>
      </c>
      <c r="H626" s="109">
        <f>J476</f>
        <v>385810.02999999997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1657906.51</v>
      </c>
      <c r="H627" s="104">
        <f>SUM(F468)</f>
        <v>1657906.51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2850.4</v>
      </c>
      <c r="H628" s="104">
        <f>SUM(G468)</f>
        <v>2850.4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34590.219999999994</v>
      </c>
      <c r="H629" s="104">
        <f>SUM(H468)</f>
        <v>34590.22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2504.73</v>
      </c>
      <c r="H631" s="104">
        <f>SUM(J468)</f>
        <v>2504.73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1653539.6899999997</v>
      </c>
      <c r="H632" s="104">
        <f>SUM(F472)</f>
        <v>1653539.69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34590.22</v>
      </c>
      <c r="H633" s="104">
        <f>SUM(H472)</f>
        <v>34590.22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74.650000000000006</v>
      </c>
      <c r="H634" s="104">
        <f>I369</f>
        <v>74.650000000000006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2850.4</v>
      </c>
      <c r="H635" s="104">
        <f>SUM(G472)</f>
        <v>2850.4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2504.73</v>
      </c>
      <c r="H637" s="164">
        <f>SUM(J468)</f>
        <v>2504.73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3389.12</v>
      </c>
      <c r="H638" s="164">
        <f>SUM(J472)</f>
        <v>3389.12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100861.4</v>
      </c>
      <c r="H639" s="104">
        <f>SUM(F461)</f>
        <v>100861.4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284948.63</v>
      </c>
      <c r="H640" s="104">
        <f>SUM(G461)</f>
        <v>284948.63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385810.03</v>
      </c>
      <c r="H642" s="104">
        <f>SUM(I461)</f>
        <v>385810.03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2504.73</v>
      </c>
      <c r="H644" s="104">
        <f>H408</f>
        <v>2504.73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2504.73</v>
      </c>
      <c r="H646" s="104">
        <f>L408</f>
        <v>2504.73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122700.1</v>
      </c>
      <c r="H647" s="104">
        <f>L208+L226+L244</f>
        <v>122700.1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9698.369999999999</v>
      </c>
      <c r="H648" s="104">
        <f>(J257+J338)-(J255+J336)</f>
        <v>9698.3700000000008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57374.5</v>
      </c>
      <c r="H649" s="104">
        <f>H598</f>
        <v>57374.5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20967</v>
      </c>
      <c r="H650" s="104">
        <f>I598</f>
        <v>20967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44358.6</v>
      </c>
      <c r="H651" s="104">
        <f>J598</f>
        <v>44358.6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2850.4</v>
      </c>
      <c r="H652" s="104">
        <f>K263+K345</f>
        <v>2850.4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852151.79999999993</v>
      </c>
      <c r="G660" s="19">
        <f>(L229+L309+L359)</f>
        <v>324957.39</v>
      </c>
      <c r="H660" s="19">
        <f>(L247+L328+L360)</f>
        <v>511020.72</v>
      </c>
      <c r="I660" s="19">
        <f>SUM(F660:H660)</f>
        <v>1688129.91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57374.5</v>
      </c>
      <c r="G662" s="19">
        <f>(L226+L306)-(J226+J306)</f>
        <v>20967</v>
      </c>
      <c r="H662" s="19">
        <f>(L244+L325)-(J244+J325)</f>
        <v>44358.6</v>
      </c>
      <c r="I662" s="19">
        <f>SUM(F662:H662)</f>
        <v>122700.1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44983.520000000004</v>
      </c>
      <c r="G663" s="199">
        <f>SUM(G575:G587)+SUM(I602:I604)+L612</f>
        <v>303990.39</v>
      </c>
      <c r="H663" s="199">
        <f>SUM(H575:H587)+SUM(J602:J604)+L613</f>
        <v>466662.12</v>
      </c>
      <c r="I663" s="19">
        <f>SUM(F663:H663)</f>
        <v>815636.03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749793.77999999991</v>
      </c>
      <c r="G664" s="19">
        <f>G660-SUM(G661:G663)</f>
        <v>0</v>
      </c>
      <c r="H664" s="19">
        <f>H660-SUM(H661:H663)</f>
        <v>0</v>
      </c>
      <c r="I664" s="19">
        <f>I660-SUM(I661:I663)</f>
        <v>749793.77999999991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30.63</v>
      </c>
      <c r="G665" s="248"/>
      <c r="H665" s="248"/>
      <c r="I665" s="19">
        <f>SUM(F665:H665)</f>
        <v>30.63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24479.07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24479.07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24479.07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24479.07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MARLOW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191679.9</v>
      </c>
      <c r="C9" s="229">
        <f>'DOE25'!G197+'DOE25'!G215+'DOE25'!G233+'DOE25'!G276+'DOE25'!G295+'DOE25'!G314</f>
        <v>81280.14</v>
      </c>
    </row>
    <row r="10" spans="1:3" x14ac:dyDescent="0.2">
      <c r="A10" t="s">
        <v>779</v>
      </c>
      <c r="B10" s="240">
        <v>187337.91</v>
      </c>
      <c r="C10" s="240">
        <v>79438.960000000006</v>
      </c>
    </row>
    <row r="11" spans="1:3" x14ac:dyDescent="0.2">
      <c r="A11" t="s">
        <v>780</v>
      </c>
      <c r="B11" s="240">
        <v>4341.99</v>
      </c>
      <c r="C11" s="240">
        <v>1841.18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191679.9</v>
      </c>
      <c r="C13" s="231">
        <f>SUM(C10:C12)</f>
        <v>81280.14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76279.12</v>
      </c>
      <c r="C18" s="229">
        <f>'DOE25'!G198+'DOE25'!G216+'DOE25'!G234+'DOE25'!G277+'DOE25'!G296+'DOE25'!G315</f>
        <v>15514.31</v>
      </c>
    </row>
    <row r="19" spans="1:3" x14ac:dyDescent="0.2">
      <c r="A19" t="s">
        <v>779</v>
      </c>
      <c r="B19" s="240">
        <v>35999.919999999998</v>
      </c>
      <c r="C19" s="240">
        <v>7321.98</v>
      </c>
    </row>
    <row r="20" spans="1:3" x14ac:dyDescent="0.2">
      <c r="A20" t="s">
        <v>780</v>
      </c>
      <c r="B20" s="240">
        <v>40279.199999999997</v>
      </c>
      <c r="C20" s="240">
        <v>8192.33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76279.12</v>
      </c>
      <c r="C22" s="231">
        <f>SUM(C19:C21)</f>
        <v>15514.31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MARLOW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1182186.1599999999</v>
      </c>
      <c r="D5" s="20">
        <f>SUM('DOE25'!L197:L200)+SUM('DOE25'!L215:L218)+SUM('DOE25'!L233:L236)-F5-G5</f>
        <v>1181211.8799999999</v>
      </c>
      <c r="E5" s="243"/>
      <c r="F5" s="255">
        <f>SUM('DOE25'!J197:J200)+SUM('DOE25'!J215:J218)+SUM('DOE25'!J233:J236)</f>
        <v>395.37</v>
      </c>
      <c r="G5" s="53">
        <f>SUM('DOE25'!K197:K200)+SUM('DOE25'!K215:K218)+SUM('DOE25'!K233:K236)</f>
        <v>578.91</v>
      </c>
      <c r="H5" s="259"/>
    </row>
    <row r="6" spans="1:9" x14ac:dyDescent="0.2">
      <c r="A6" s="32">
        <v>2100</v>
      </c>
      <c r="B6" t="s">
        <v>801</v>
      </c>
      <c r="C6" s="245">
        <f t="shared" si="0"/>
        <v>92463.43</v>
      </c>
      <c r="D6" s="20">
        <f>'DOE25'!L202+'DOE25'!L220+'DOE25'!L238-F6-G6</f>
        <v>92463.43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15563.9</v>
      </c>
      <c r="D7" s="20">
        <f>'DOE25'!L203+'DOE25'!L221+'DOE25'!L239-F7-G7</f>
        <v>15563.9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47272</v>
      </c>
      <c r="D8" s="243"/>
      <c r="E8" s="20">
        <f>'DOE25'!L204+'DOE25'!L222+'DOE25'!L240-F8-G8-D9-D11</f>
        <v>47272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10161.89</v>
      </c>
      <c r="D9" s="244">
        <v>10161.89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5900</v>
      </c>
      <c r="D10" s="243"/>
      <c r="E10" s="244">
        <v>5900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9916</v>
      </c>
      <c r="D11" s="244">
        <v>9916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106704.79000000001</v>
      </c>
      <c r="D12" s="20">
        <f>'DOE25'!L205+'DOE25'!L223+'DOE25'!L241-F12-G12</f>
        <v>106704.79000000001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52167.520000000004</v>
      </c>
      <c r="D14" s="20">
        <f>'DOE25'!L207+'DOE25'!L225+'DOE25'!L243-F14-G14</f>
        <v>52167.520000000004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122700.1</v>
      </c>
      <c r="D15" s="20">
        <f>'DOE25'!L208+'DOE25'!L226+'DOE25'!L244-F15-G15</f>
        <v>122700.1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11553.5</v>
      </c>
      <c r="D16" s="243"/>
      <c r="E16" s="20">
        <f>'DOE25'!L209+'DOE25'!L227+'DOE25'!L245-F16-G16</f>
        <v>11553.5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2850.4</v>
      </c>
      <c r="D29" s="20">
        <f>'DOE25'!L358+'DOE25'!L359+'DOE25'!L360-'DOE25'!I367-F29-G29</f>
        <v>2850.4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34590.220000000008</v>
      </c>
      <c r="D31" s="20">
        <f>'DOE25'!L290+'DOE25'!L309+'DOE25'!L328+'DOE25'!L333+'DOE25'!L334+'DOE25'!L335-F31-G31</f>
        <v>24567.49</v>
      </c>
      <c r="E31" s="243"/>
      <c r="F31" s="255">
        <f>'DOE25'!J290+'DOE25'!J309+'DOE25'!J328+'DOE25'!J333+'DOE25'!J334+'DOE25'!J335</f>
        <v>9303</v>
      </c>
      <c r="G31" s="53">
        <f>'DOE25'!K290+'DOE25'!K309+'DOE25'!K328+'DOE25'!K333+'DOE25'!K334+'DOE25'!K335</f>
        <v>719.73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1618307.3999999997</v>
      </c>
      <c r="E33" s="246">
        <f>SUM(E5:E31)</f>
        <v>64725.5</v>
      </c>
      <c r="F33" s="246">
        <f>SUM(F5:F31)</f>
        <v>9698.3700000000008</v>
      </c>
      <c r="G33" s="246">
        <f>SUM(G5:G31)</f>
        <v>1298.6399999999999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64725.5</v>
      </c>
      <c r="E35" s="249"/>
    </row>
    <row r="36" spans="2:8" ht="12" thickTop="1" x14ac:dyDescent="0.2">
      <c r="B36" t="s">
        <v>815</v>
      </c>
      <c r="D36" s="20">
        <f>D33</f>
        <v>1618307.3999999997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workbookViewId="0">
      <pane ySplit="2" topLeftCell="A123" activePane="bottomLeft" state="frozen"/>
      <selection activeCell="F46" sqref="F46"/>
      <selection pane="bottomLeft" activeCell="C12" sqref="C1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MARLOW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-7767.7899999999991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385810.03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6488.81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21385.9</v>
      </c>
      <c r="D12" s="95">
        <f>'DOE25'!G13</f>
        <v>0</v>
      </c>
      <c r="E12" s="95">
        <f>'DOE25'!H13</f>
        <v>6488.81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21106.920000000002</v>
      </c>
      <c r="D18" s="41">
        <f>SUM(D8:D17)</f>
        <v>0</v>
      </c>
      <c r="E18" s="41">
        <f>SUM(E8:E17)</f>
        <v>6488.81</v>
      </c>
      <c r="F18" s="41">
        <f>SUM(F8:F17)</f>
        <v>0</v>
      </c>
      <c r="G18" s="41">
        <f>SUM(G8:G17)</f>
        <v>385810.03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6488.81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4368.4399999999996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7243.15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4866.01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16477.599999999999</v>
      </c>
      <c r="D31" s="41">
        <f>SUM(D21:D30)</f>
        <v>0</v>
      </c>
      <c r="E31" s="41">
        <f>SUM(E21:E30)</f>
        <v>6488.81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1000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3629.32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385810.03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4629.32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385810.03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21106.92</v>
      </c>
      <c r="D51" s="41">
        <f>D50+D31</f>
        <v>0</v>
      </c>
      <c r="E51" s="41">
        <f>E50+E31</f>
        <v>6488.81</v>
      </c>
      <c r="F51" s="41">
        <f>F50+F31</f>
        <v>0</v>
      </c>
      <c r="G51" s="41">
        <f>G50+G31</f>
        <v>385810.03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861141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110.92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2504.73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27677.81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27788.73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2504.73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888929.73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2504.73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568742.18999999994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148447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717189.19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1567.48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1567.48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718756.66999999993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592.25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50220.11</v>
      </c>
      <c r="D88" s="95">
        <f>SUM('DOE25'!G153:G161)</f>
        <v>0</v>
      </c>
      <c r="E88" s="95">
        <f>SUM('DOE25'!H153:H161)</f>
        <v>33997.969999999994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50220.11</v>
      </c>
      <c r="D91" s="131">
        <f>SUM(D85:D90)</f>
        <v>0</v>
      </c>
      <c r="E91" s="131">
        <f>SUM(E85:E90)</f>
        <v>34590.219999999994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2850.4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2850.4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1657906.51</v>
      </c>
      <c r="D104" s="86">
        <f>D63+D81+D91+D103</f>
        <v>2850.4</v>
      </c>
      <c r="E104" s="86">
        <f>E63+E81+E91+E103</f>
        <v>34590.219999999994</v>
      </c>
      <c r="F104" s="86">
        <f>F63+F81+F91+F103</f>
        <v>0</v>
      </c>
      <c r="G104" s="86">
        <f>G63+G81+G103</f>
        <v>2504.73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750150.60999999987</v>
      </c>
      <c r="D109" s="24" t="s">
        <v>289</v>
      </c>
      <c r="E109" s="95">
        <f>('DOE25'!L276)+('DOE25'!L295)+('DOE25'!L314)</f>
        <v>14048.369999999999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432035.55</v>
      </c>
      <c r="D110" s="24" t="s">
        <v>289</v>
      </c>
      <c r="E110" s="95">
        <f>('DOE25'!L277)+('DOE25'!L296)+('DOE25'!L315)</f>
        <v>9036.66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1182186.1599999999</v>
      </c>
      <c r="D115" s="86">
        <f>SUM(D109:D114)</f>
        <v>0</v>
      </c>
      <c r="E115" s="86">
        <f>SUM(E109:E114)</f>
        <v>23085.03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92463.43</v>
      </c>
      <c r="D118" s="24" t="s">
        <v>289</v>
      </c>
      <c r="E118" s="95">
        <f>+('DOE25'!L281)+('DOE25'!L300)+('DOE25'!L319)</f>
        <v>200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15563.9</v>
      </c>
      <c r="D119" s="24" t="s">
        <v>289</v>
      </c>
      <c r="E119" s="95">
        <f>+('DOE25'!L282)+('DOE25'!L301)+('DOE25'!L320)</f>
        <v>8769.4599999999991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67349.89</v>
      </c>
      <c r="D120" s="24" t="s">
        <v>289</v>
      </c>
      <c r="E120" s="95">
        <f>+('DOE25'!L283)+('DOE25'!L302)+('DOE25'!L321)</f>
        <v>2016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106704.79000000001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519.73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52167.520000000004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122700.1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11553.5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2850.4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468503.13</v>
      </c>
      <c r="D128" s="86">
        <f>SUM(D118:D127)</f>
        <v>2850.4</v>
      </c>
      <c r="E128" s="86">
        <f>SUM(E118:E127)</f>
        <v>11505.189999999999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3389.12</v>
      </c>
    </row>
    <row r="135" spans="1:7" x14ac:dyDescent="0.2">
      <c r="A135" t="s">
        <v>233</v>
      </c>
      <c r="B135" s="32" t="s">
        <v>234</v>
      </c>
      <c r="C135" s="95">
        <f>'DOE25'!L263</f>
        <v>2850.4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655.35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1849.38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-2504.73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2850.4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3389.12</v>
      </c>
    </row>
    <row r="145" spans="1:9" ht="12.75" thickTop="1" thickBot="1" x14ac:dyDescent="0.25">
      <c r="A145" s="33" t="s">
        <v>244</v>
      </c>
      <c r="C145" s="86">
        <f>(C115+C128+C144)</f>
        <v>1653539.69</v>
      </c>
      <c r="D145" s="86">
        <f>(D115+D128+D144)</f>
        <v>2850.4</v>
      </c>
      <c r="E145" s="86">
        <f>(E115+E128+E144)</f>
        <v>34590.22</v>
      </c>
      <c r="F145" s="86">
        <f>(F115+F128+F144)</f>
        <v>0</v>
      </c>
      <c r="G145" s="86">
        <f>(G115+G128+G144)</f>
        <v>3389.12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MARLOW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24479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24479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764199</v>
      </c>
      <c r="D10" s="182">
        <f>ROUND((C10/$C$28)*100,1)</f>
        <v>45.3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441072</v>
      </c>
      <c r="D11" s="182">
        <f>ROUND((C11/$C$28)*100,1)</f>
        <v>26.1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92663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24333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80919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106705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520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52168</v>
      </c>
      <c r="D20" s="182">
        <f t="shared" si="0"/>
        <v>3.1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122700</v>
      </c>
      <c r="D21" s="182">
        <f t="shared" si="0"/>
        <v>7.3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2850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1688129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1688129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861141</v>
      </c>
      <c r="D35" s="182">
        <f t="shared" ref="D35:D40" si="1">ROUND((C35/$C$41)*100,1)</f>
        <v>50.8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30293.459999999963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717189</v>
      </c>
      <c r="D37" s="182">
        <f t="shared" si="1"/>
        <v>42.3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1567</v>
      </c>
      <c r="D38" s="182">
        <f t="shared" si="1"/>
        <v>0.1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84810</v>
      </c>
      <c r="D39" s="182">
        <f t="shared" si="1"/>
        <v>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1695000.46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MARLOW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2015-10-01T16:44:47Z</cp:lastPrinted>
  <dcterms:created xsi:type="dcterms:W3CDTF">1997-12-04T19:04:30Z</dcterms:created>
  <dcterms:modified xsi:type="dcterms:W3CDTF">2015-10-01T16:46:19Z</dcterms:modified>
</cp:coreProperties>
</file>