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0" yWindow="75" windowWidth="14145" windowHeight="123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G654" i="1" l="1"/>
  <c r="G655" i="1"/>
  <c r="G644" i="1"/>
  <c r="B19" i="12" l="1"/>
  <c r="C19" i="12"/>
  <c r="C10" i="12"/>
  <c r="B11" i="12"/>
  <c r="B10" i="12"/>
  <c r="E10" i="13" l="1"/>
  <c r="K528" i="1" l="1"/>
  <c r="I533" i="1"/>
  <c r="G533" i="1"/>
  <c r="F24" i="1" l="1"/>
  <c r="F49" i="1"/>
  <c r="G459" i="1"/>
  <c r="H49" i="1"/>
  <c r="H24" i="1"/>
  <c r="H22" i="1"/>
  <c r="F22" i="1"/>
  <c r="G502" i="1"/>
  <c r="G495" i="1"/>
  <c r="J604" i="1" l="1"/>
  <c r="I604" i="1"/>
  <c r="H604" i="1"/>
  <c r="H397" i="1"/>
  <c r="H396" i="1"/>
  <c r="I314" i="1" l="1"/>
  <c r="G277" i="1"/>
  <c r="F277" i="1"/>
  <c r="F276" i="1"/>
  <c r="H368" i="1" l="1"/>
  <c r="F368" i="1"/>
  <c r="F240" i="1"/>
  <c r="F222" i="1"/>
  <c r="F204" i="1"/>
  <c r="G204" i="1"/>
  <c r="G222" i="1"/>
  <c r="G240" i="1"/>
  <c r="H240" i="1"/>
  <c r="H222" i="1"/>
  <c r="H204" i="1"/>
  <c r="I204" i="1"/>
  <c r="I222" i="1"/>
  <c r="I240" i="1"/>
  <c r="K204" i="1"/>
  <c r="K222" i="1"/>
  <c r="K240" i="1"/>
  <c r="H159" i="1" l="1"/>
  <c r="H155" i="1"/>
  <c r="H154" i="1"/>
  <c r="H102" i="1"/>
  <c r="G97" i="1" l="1"/>
  <c r="F14" i="1"/>
  <c r="C45" i="2" l="1"/>
  <c r="G51" i="1"/>
  <c r="F51" i="1"/>
  <c r="C37" i="10" l="1"/>
  <c r="F40" i="2" l="1"/>
  <c r="D39" i="2"/>
  <c r="J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G17" i="13"/>
  <c r="D17" i="13" s="1"/>
  <c r="C17" i="13" s="1"/>
  <c r="L251" i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E111" i="2" s="1"/>
  <c r="L298" i="1"/>
  <c r="L300" i="1"/>
  <c r="L301" i="1"/>
  <c r="L302" i="1"/>
  <c r="L303" i="1"/>
  <c r="L304" i="1"/>
  <c r="E122" i="2" s="1"/>
  <c r="L305" i="1"/>
  <c r="L306" i="1"/>
  <c r="E124" i="2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L341" i="1"/>
  <c r="E131" i="2" s="1"/>
  <c r="L342" i="1"/>
  <c r="L255" i="1"/>
  <c r="F22" i="13" s="1"/>
  <c r="C22" i="13" s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F121" i="1"/>
  <c r="F136" i="1"/>
  <c r="G121" i="1"/>
  <c r="G136" i="1"/>
  <c r="H121" i="1"/>
  <c r="H136" i="1"/>
  <c r="H140" i="1" s="1"/>
  <c r="I121" i="1"/>
  <c r="I136" i="1"/>
  <c r="J121" i="1"/>
  <c r="J140" i="1" s="1"/>
  <c r="J136" i="1"/>
  <c r="F147" i="1"/>
  <c r="C85" i="2" s="1"/>
  <c r="F162" i="1"/>
  <c r="F169" i="1" s="1"/>
  <c r="G147" i="1"/>
  <c r="G162" i="1"/>
  <c r="H147" i="1"/>
  <c r="H162" i="1"/>
  <c r="I147" i="1"/>
  <c r="I169" i="1" s="1"/>
  <c r="I162" i="1"/>
  <c r="C21" i="10"/>
  <c r="L250" i="1"/>
  <c r="L332" i="1"/>
  <c r="L254" i="1"/>
  <c r="L268" i="1"/>
  <c r="C26" i="10" s="1"/>
  <c r="L269" i="1"/>
  <c r="L349" i="1"/>
  <c r="L350" i="1"/>
  <c r="I665" i="1"/>
  <c r="I670" i="1"/>
  <c r="F662" i="1"/>
  <c r="G662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E113" i="2"/>
  <c r="C114" i="2"/>
  <c r="D115" i="2"/>
  <c r="F115" i="2"/>
  <c r="G115" i="2"/>
  <c r="E120" i="2"/>
  <c r="E121" i="2"/>
  <c r="E123" i="2"/>
  <c r="C124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F461" i="1" s="1"/>
  <c r="H639" i="1" s="1"/>
  <c r="G452" i="1"/>
  <c r="H452" i="1"/>
  <c r="F460" i="1"/>
  <c r="G460" i="1"/>
  <c r="H460" i="1"/>
  <c r="H461" i="1"/>
  <c r="H641" i="1" s="1"/>
  <c r="J641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F571" i="1" s="1"/>
  <c r="G560" i="1"/>
  <c r="H560" i="1"/>
  <c r="I560" i="1"/>
  <c r="J560" i="1"/>
  <c r="J571" i="1" s="1"/>
  <c r="K560" i="1"/>
  <c r="K571" i="1" s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G624" i="1"/>
  <c r="H636" i="1"/>
  <c r="H638" i="1"/>
  <c r="G640" i="1"/>
  <c r="G641" i="1"/>
  <c r="G643" i="1"/>
  <c r="H643" i="1"/>
  <c r="J643" i="1" s="1"/>
  <c r="H647" i="1"/>
  <c r="G649" i="1"/>
  <c r="G651" i="1"/>
  <c r="J651" i="1" s="1"/>
  <c r="G652" i="1"/>
  <c r="H652" i="1"/>
  <c r="G653" i="1"/>
  <c r="H653" i="1"/>
  <c r="H654" i="1"/>
  <c r="H655" i="1"/>
  <c r="I662" i="1"/>
  <c r="L419" i="1"/>
  <c r="L393" i="1"/>
  <c r="C138" i="2" s="1"/>
  <c r="H192" i="1"/>
  <c r="L570" i="1"/>
  <c r="G36" i="2"/>
  <c r="L565" i="1"/>
  <c r="I552" i="1" l="1"/>
  <c r="H545" i="1"/>
  <c r="J552" i="1"/>
  <c r="A40" i="12"/>
  <c r="A13" i="12"/>
  <c r="L539" i="1"/>
  <c r="K545" i="1"/>
  <c r="I545" i="1"/>
  <c r="G552" i="1"/>
  <c r="K550" i="1"/>
  <c r="J545" i="1"/>
  <c r="G545" i="1"/>
  <c r="K551" i="1"/>
  <c r="F552" i="1"/>
  <c r="L524" i="1"/>
  <c r="G461" i="1"/>
  <c r="H640" i="1" s="1"/>
  <c r="K503" i="1"/>
  <c r="K605" i="1"/>
  <c r="G648" i="1" s="1"/>
  <c r="J639" i="1"/>
  <c r="K549" i="1"/>
  <c r="K500" i="1"/>
  <c r="L270" i="1"/>
  <c r="D14" i="13"/>
  <c r="C14" i="13" s="1"/>
  <c r="H408" i="1"/>
  <c r="H644" i="1" s="1"/>
  <c r="J644" i="1" s="1"/>
  <c r="K338" i="1"/>
  <c r="C142" i="2"/>
  <c r="H169" i="1"/>
  <c r="J112" i="1"/>
  <c r="H25" i="13"/>
  <c r="C25" i="13" s="1"/>
  <c r="D7" i="13"/>
  <c r="C7" i="13" s="1"/>
  <c r="C111" i="2"/>
  <c r="L529" i="1"/>
  <c r="I452" i="1"/>
  <c r="F192" i="1"/>
  <c r="E103" i="2"/>
  <c r="H112" i="1"/>
  <c r="D18" i="13"/>
  <c r="C18" i="13" s="1"/>
  <c r="D15" i="13"/>
  <c r="C15" i="13" s="1"/>
  <c r="L534" i="1"/>
  <c r="C112" i="2"/>
  <c r="E118" i="2"/>
  <c r="L544" i="1"/>
  <c r="L382" i="1"/>
  <c r="G636" i="1" s="1"/>
  <c r="J636" i="1" s="1"/>
  <c r="L614" i="1"/>
  <c r="I446" i="1"/>
  <c r="G642" i="1" s="1"/>
  <c r="J642" i="1" s="1"/>
  <c r="C70" i="2"/>
  <c r="F78" i="2"/>
  <c r="F81" i="2" s="1"/>
  <c r="D18" i="2"/>
  <c r="D91" i="2"/>
  <c r="C91" i="2"/>
  <c r="D81" i="2"/>
  <c r="E78" i="2"/>
  <c r="E81" i="2" s="1"/>
  <c r="E104" i="2" s="1"/>
  <c r="E31" i="2"/>
  <c r="F18" i="2"/>
  <c r="G625" i="1"/>
  <c r="J640" i="1"/>
  <c r="I460" i="1"/>
  <c r="I461" i="1" s="1"/>
  <c r="H642" i="1" s="1"/>
  <c r="G156" i="2"/>
  <c r="G161" i="2"/>
  <c r="G164" i="2"/>
  <c r="G157" i="2"/>
  <c r="K598" i="1"/>
  <c r="G647" i="1" s="1"/>
  <c r="J647" i="1" s="1"/>
  <c r="J649" i="1"/>
  <c r="G81" i="2"/>
  <c r="D62" i="2"/>
  <c r="D63" i="2" s="1"/>
  <c r="D50" i="2"/>
  <c r="G645" i="1"/>
  <c r="J645" i="1" s="1"/>
  <c r="L351" i="1"/>
  <c r="K352" i="1"/>
  <c r="E125" i="2"/>
  <c r="J338" i="1"/>
  <c r="J352" i="1" s="1"/>
  <c r="H338" i="1"/>
  <c r="H352" i="1" s="1"/>
  <c r="E119" i="2"/>
  <c r="L290" i="1"/>
  <c r="E110" i="2"/>
  <c r="G338" i="1"/>
  <c r="G352" i="1" s="1"/>
  <c r="E109" i="2"/>
  <c r="L328" i="1"/>
  <c r="J634" i="1"/>
  <c r="D127" i="2"/>
  <c r="D128" i="2" s="1"/>
  <c r="D145" i="2" s="1"/>
  <c r="G661" i="1"/>
  <c r="F661" i="1"/>
  <c r="D29" i="13"/>
  <c r="C29" i="13" s="1"/>
  <c r="L362" i="1"/>
  <c r="H661" i="1"/>
  <c r="C25" i="10"/>
  <c r="C132" i="2"/>
  <c r="E16" i="13"/>
  <c r="C16" i="13" s="1"/>
  <c r="C125" i="2"/>
  <c r="C20" i="10"/>
  <c r="C123" i="2"/>
  <c r="E13" i="13"/>
  <c r="C13" i="13" s="1"/>
  <c r="C122" i="2"/>
  <c r="C19" i="10"/>
  <c r="C18" i="10"/>
  <c r="D12" i="13"/>
  <c r="C12" i="13" s="1"/>
  <c r="C121" i="2"/>
  <c r="C17" i="10"/>
  <c r="C120" i="2"/>
  <c r="E8" i="13"/>
  <c r="C8" i="13" s="1"/>
  <c r="C16" i="10"/>
  <c r="C119" i="2"/>
  <c r="C15" i="10"/>
  <c r="D6" i="13"/>
  <c r="C6" i="13" s="1"/>
  <c r="C118" i="2"/>
  <c r="C13" i="10"/>
  <c r="L229" i="1"/>
  <c r="G660" i="1" s="1"/>
  <c r="G664" i="1" s="1"/>
  <c r="G667" i="1" s="1"/>
  <c r="C12" i="10"/>
  <c r="K257" i="1"/>
  <c r="K271" i="1" s="1"/>
  <c r="J257" i="1"/>
  <c r="J271" i="1" s="1"/>
  <c r="H257" i="1"/>
  <c r="H271" i="1" s="1"/>
  <c r="G257" i="1"/>
  <c r="G271" i="1" s="1"/>
  <c r="C11" i="10"/>
  <c r="L247" i="1"/>
  <c r="C110" i="2"/>
  <c r="I257" i="1"/>
  <c r="I271" i="1" s="1"/>
  <c r="C10" i="10"/>
  <c r="F257" i="1"/>
  <c r="F271" i="1" s="1"/>
  <c r="L211" i="1"/>
  <c r="D5" i="13"/>
  <c r="C5" i="13" s="1"/>
  <c r="C109" i="2"/>
  <c r="C78" i="2"/>
  <c r="C81" i="2" s="1"/>
  <c r="C62" i="2"/>
  <c r="F112" i="1"/>
  <c r="C36" i="10" s="1"/>
  <c r="C56" i="2"/>
  <c r="H52" i="1"/>
  <c r="H619" i="1" s="1"/>
  <c r="J619" i="1" s="1"/>
  <c r="D31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H193" i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A22" i="12"/>
  <c r="J652" i="1"/>
  <c r="G571" i="1"/>
  <c r="I434" i="1"/>
  <c r="G434" i="1"/>
  <c r="I663" i="1"/>
  <c r="L545" i="1" l="1"/>
  <c r="K552" i="1"/>
  <c r="G635" i="1"/>
  <c r="G472" i="1"/>
  <c r="G629" i="1"/>
  <c r="H468" i="1"/>
  <c r="I193" i="1"/>
  <c r="E51" i="2"/>
  <c r="H33" i="13"/>
  <c r="L408" i="1"/>
  <c r="F193" i="1"/>
  <c r="D104" i="2"/>
  <c r="G51" i="2"/>
  <c r="C144" i="2"/>
  <c r="F51" i="2"/>
  <c r="D51" i="2"/>
  <c r="G630" i="1"/>
  <c r="I468" i="1"/>
  <c r="G646" i="1"/>
  <c r="J468" i="1"/>
  <c r="F104" i="2"/>
  <c r="G104" i="2"/>
  <c r="E128" i="2"/>
  <c r="F660" i="1"/>
  <c r="F664" i="1" s="1"/>
  <c r="F667" i="1" s="1"/>
  <c r="L338" i="1"/>
  <c r="L352" i="1" s="1"/>
  <c r="E115" i="2"/>
  <c r="D31" i="13"/>
  <c r="C31" i="13" s="1"/>
  <c r="H660" i="1"/>
  <c r="H664" i="1" s="1"/>
  <c r="H667" i="1" s="1"/>
  <c r="C27" i="10"/>
  <c r="C28" i="10" s="1"/>
  <c r="D25" i="10" s="1"/>
  <c r="I661" i="1"/>
  <c r="E33" i="13"/>
  <c r="D35" i="13" s="1"/>
  <c r="C128" i="2"/>
  <c r="H648" i="1"/>
  <c r="J648" i="1" s="1"/>
  <c r="C115" i="2"/>
  <c r="L257" i="1"/>
  <c r="L271" i="1" s="1"/>
  <c r="G672" i="1"/>
  <c r="C5" i="10" s="1"/>
  <c r="C63" i="2"/>
  <c r="C104" i="2" s="1"/>
  <c r="C51" i="2"/>
  <c r="G631" i="1"/>
  <c r="G193" i="1"/>
  <c r="G626" i="1"/>
  <c r="J52" i="1"/>
  <c r="H621" i="1" s="1"/>
  <c r="J621" i="1" s="1"/>
  <c r="C38" i="10"/>
  <c r="H470" i="1" l="1"/>
  <c r="H629" i="1"/>
  <c r="J629" i="1" s="1"/>
  <c r="H635" i="1"/>
  <c r="G474" i="1"/>
  <c r="G637" i="1"/>
  <c r="H646" i="1"/>
  <c r="J646" i="1" s="1"/>
  <c r="G628" i="1"/>
  <c r="G468" i="1"/>
  <c r="G632" i="1"/>
  <c r="F472" i="1"/>
  <c r="G627" i="1"/>
  <c r="F468" i="1"/>
  <c r="J635" i="1"/>
  <c r="G633" i="1"/>
  <c r="H472" i="1"/>
  <c r="H630" i="1"/>
  <c r="J630" i="1" s="1"/>
  <c r="I470" i="1"/>
  <c r="I476" i="1" s="1"/>
  <c r="H625" i="1" s="1"/>
  <c r="J625" i="1" s="1"/>
  <c r="H631" i="1"/>
  <c r="J631" i="1" s="1"/>
  <c r="H637" i="1"/>
  <c r="J470" i="1"/>
  <c r="J476" i="1" s="1"/>
  <c r="H626" i="1" s="1"/>
  <c r="J626" i="1" s="1"/>
  <c r="E145" i="2"/>
  <c r="I660" i="1"/>
  <c r="I664" i="1" s="1"/>
  <c r="I672" i="1" s="1"/>
  <c r="C7" i="10" s="1"/>
  <c r="D33" i="13"/>
  <c r="D36" i="13" s="1"/>
  <c r="H672" i="1"/>
  <c r="C6" i="10" s="1"/>
  <c r="C145" i="2"/>
  <c r="F672" i="1"/>
  <c r="C4" i="10" s="1"/>
  <c r="C30" i="10"/>
  <c r="D15" i="10"/>
  <c r="D11" i="10"/>
  <c r="D21" i="10"/>
  <c r="D17" i="10"/>
  <c r="D10" i="10"/>
  <c r="D24" i="10"/>
  <c r="D13" i="10"/>
  <c r="D27" i="10"/>
  <c r="D12" i="10"/>
  <c r="D18" i="10"/>
  <c r="D16" i="10"/>
  <c r="D26" i="10"/>
  <c r="D19" i="10"/>
  <c r="D22" i="10"/>
  <c r="D23" i="10"/>
  <c r="D20" i="10"/>
  <c r="C41" i="10"/>
  <c r="D38" i="10" s="1"/>
  <c r="J637" i="1" l="1"/>
  <c r="G470" i="1"/>
  <c r="G476" i="1" s="1"/>
  <c r="H623" i="1" s="1"/>
  <c r="J623" i="1" s="1"/>
  <c r="H628" i="1"/>
  <c r="J628" i="1" s="1"/>
  <c r="F470" i="1"/>
  <c r="H627" i="1"/>
  <c r="J627" i="1" s="1"/>
  <c r="H632" i="1"/>
  <c r="J632" i="1" s="1"/>
  <c r="F474" i="1"/>
  <c r="H633" i="1"/>
  <c r="H474" i="1"/>
  <c r="H476" i="1" s="1"/>
  <c r="H624" i="1" s="1"/>
  <c r="J624" i="1" s="1"/>
  <c r="J633" i="1"/>
  <c r="I667" i="1"/>
  <c r="D28" i="10"/>
  <c r="D37" i="10"/>
  <c r="D36" i="10"/>
  <c r="D35" i="10"/>
  <c r="D40" i="10"/>
  <c r="D39" i="10"/>
  <c r="F476" i="1" l="1"/>
  <c r="H622" i="1" s="1"/>
  <c r="J622" i="1" s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<sst xmlns="http://schemas.openxmlformats.org/spreadsheetml/2006/main" count="3957" uniqueCount="914">
  <si>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</si>
  <si>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</si>
  <si>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</si>
  <si>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</si>
  <si>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</si>
  <si>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</si>
  <si>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</si>
  <si>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</si>
  <si>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</si>
  <si>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</si>
  <si>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</si>
  <si>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</si>
  <si>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</si>
  <si>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</si>
  <si>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</si>
  <si>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</si>
  <si>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</si>
  <si>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</si>
  <si>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</si>
  <si>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</si>
  <si>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</si>
  <si>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</si>
  <si>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</si>
  <si>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</si>
  <si>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</si>
  <si>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</si>
  <si>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</si>
  <si>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</si>
  <si>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</si>
  <si>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</si>
  <si>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</si>
  <si>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</si>
  <si>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</si>
  <si>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</si>
  <si>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</si>
  <si>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</si>
  <si>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</si>
  <si>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</si>
  <si>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</si>
  <si>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</si>
  <si>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</si>
  <si>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</si>
  <si>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</si>
  <si>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</si>
  <si>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</si>
  <si>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</si>
  <si>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</si>
  <si>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</si>
  <si>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</si>
  <si>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</si>
  <si>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</si>
  <si>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</si>
  <si>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</si>
  <si>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</si>
  <si>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</si>
  <si>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</si>
  <si>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</si>
  <si>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</si>
  <si>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</si>
  <si>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</si>
  <si>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</si>
  <si>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</si>
  <si>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</si>
  <si>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</si>
  <si>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</si>
  <si>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</si>
  <si>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</si>
  <si>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</si>
  <si>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</si>
  <si>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</si>
  <si>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</si>
  <si>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</si>
  <si>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</si>
  <si>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</si>
  <si>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</si>
  <si>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</si>
  <si>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</si>
  <si>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</si>
  <si>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</si>
  <si>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</si>
  <si>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</si>
  <si>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</si>
  <si>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</si>
  <si>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</si>
  <si>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</si>
  <si>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</si>
  <si>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</si>
  <si>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</si>
  <si>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</si>
  <si>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</si>
  <si>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</si>
  <si>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</si>
  <si>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</si>
  <si>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</si>
  <si>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</si>
  <si>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</si>
  <si>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</si>
  <si>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</si>
  <si>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</si>
  <si>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</si>
  <si>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</si>
  <si>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</si>
  <si>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</si>
  <si>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</si>
  <si>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</si>
  <si>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</si>
  <si>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</si>
  <si>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</si>
  <si>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</si>
  <si>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</si>
  <si>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</si>
  <si>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</si>
  <si>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</si>
  <si>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</si>
  <si>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</si>
  <si>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</si>
  <si>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</si>
  <si>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</si>
  <si>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</si>
  <si>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</si>
  <si>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</si>
  <si>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</si>
  <si>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</si>
  <si>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</si>
  <si>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</si>
  <si>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</si>
  <si>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</si>
  <si>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</si>
  <si>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</si>
  <si>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</si>
  <si>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</si>
  <si>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</si>
  <si>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</si>
  <si>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</si>
  <si>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</si>
  <si>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</si>
  <si>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</si>
  <si>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</si>
  <si>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</si>
  <si>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</si>
  <si>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</si>
  <si>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</si>
  <si>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</si>
  <si>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</si>
  <si>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</si>
  <si>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</si>
  <si>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</si>
  <si>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</si>
  <si>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</si>
  <si>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</si>
  <si>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</si>
  <si>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</si>
  <si>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</si>
  <si>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</si>
  <si>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</si>
  <si>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</si>
  <si>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</si>
  <si>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</si>
  <si>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</si>
  <si>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</si>
  <si>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</si>
  <si>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</si>
  <si>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</si>
  <si>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</si>
  <si>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</si>
  <si>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</si>
  <si>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</si>
  <si>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</si>
  <si>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</si>
  <si>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</si>
  <si>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</si>
  <si>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</si>
  <si>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</si>
  <si>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</si>
  <si>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</si>
  <si>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</si>
  <si>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</si>
  <si>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</si>
  <si>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</si>
  <si>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</si>
  <si>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</si>
  <si>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</si>
  <si>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</si>
  <si>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</si>
  <si>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</si>
  <si>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</si>
  <si>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</si>
  <si>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</si>
  <si>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</si>
  <si>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</si>
  <si>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</si>
  <si>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</si>
  <si>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</si>
  <si>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</si>
  <si>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</si>
  <si>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</si>
  <si>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</si>
  <si>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</si>
  <si>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</si>
  <si>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</si>
  <si>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</si>
  <si>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</si>
  <si>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</si>
  <si>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</si>
  <si>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</si>
  <si>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</si>
  <si>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</si>
  <si>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</si>
  <si>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</si>
  <si>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</si>
  <si>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</si>
  <si>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</si>
  <si>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</si>
  <si>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</si>
  <si>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</si>
  <si>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</si>
  <si>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</si>
  <si>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</si>
  <si>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</si>
  <si>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</si>
  <si>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</si>
  <si>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</si>
  <si>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</si>
  <si>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</si>
  <si>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</si>
  <si>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</si>
  <si>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</si>
  <si>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</si>
  <si>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</si>
  <si>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</si>
  <si>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</si>
  <si>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</si>
  <si>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</si>
  <si>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</si>
  <si>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</si>
  <si>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</si>
  <si>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</si>
  <si>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</si>
  <si>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</si>
  <si>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</si>
  <si>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</si>
  <si>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</si>
  <si>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</si>
  <si>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</si>
  <si>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</si>
  <si>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</si>
  <si>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</si>
  <si>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</si>
  <si>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</si>
  <si>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</si>
  <si>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</si>
  <si>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</si>
  <si>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</si>
  <si>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</si>
  <si>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</si>
  <si>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</si>
  <si>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</si>
  <si>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</si>
  <si>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</si>
  <si>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</si>
  <si>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</si>
  <si>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</si>
  <si>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</si>
  <si>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</si>
  <si>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</si>
  <si>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</si>
  <si>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</si>
  <si>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</si>
  <si>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</si>
  <si>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</si>
  <si>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</si>
  <si>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</si>
  <si>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</si>
  <si>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</si>
  <si>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</si>
  <si>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</si>
  <si>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</si>
  <si>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</si>
  <si>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</si>
  <si>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</si>
  <si>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</si>
  <si>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</si>
  <si>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</si>
  <si>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</si>
  <si>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</si>
  <si>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</si>
  <si>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</si>
  <si>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</si>
  <si>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</si>
  <si>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</si>
  <si>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</si>
  <si>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</si>
  <si>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</si>
  <si>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</si>
  <si>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</si>
  <si>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</si>
  <si>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</si>
  <si>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</si>
  <si>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</si>
  <si>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</si>
  <si>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</si>
  <si>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</si>
  <si>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</si>
  <si>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</si>
  <si>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</si>
  <si>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</si>
  <si>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</si>
  <si>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</si>
  <si>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</si>
  <si>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</si>
  <si>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</si>
  <si>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</si>
  <si>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</si>
  <si>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</si>
  <si>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</si>
  <si>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</si>
  <si>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</si>
  <si>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</si>
  <si>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</si>
  <si>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</si>
  <si>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</si>
  <si>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</si>
  <si>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</si>
  <si>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</si>
  <si>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</si>
  <si>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</si>
  <si>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</si>
  <si>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</si>
  <si>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</si>
  <si>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</si>
  <si>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</si>
  <si>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</si>
  <si>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</si>
  <si>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</si>
  <si>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</si>
  <si>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</si>
  <si>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</si>
  <si>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</si>
  <si>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</si>
  <si>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</si>
  <si>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</si>
  <si>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</si>
  <si>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</si>
  <si>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</si>
  <si>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</si>
  <si>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</si>
  <si>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</si>
  <si>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</si>
  <si>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</si>
  <si>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</si>
  <si>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</si>
  <si>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</si>
  <si>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</si>
  <si>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</si>
  <si>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</si>
  <si>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</si>
  <si>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</si>
  <si>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</si>
  <si>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</si>
  <si>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</si>
  <si>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</si>
  <si>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</si>
  <si>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</si>
  <si>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</si>
  <si>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</si>
  <si>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</si>
  <si>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</si>
  <si>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</si>
  <si>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</si>
  <si>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</si>
  <si>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</si>
  <si>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</si>
  <si>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</si>
  <si>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</si>
  <si>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</si>
  <si>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</si>
  <si>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</si>
  <si>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</si>
  <si>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</si>
  <si>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</si>
  <si>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</si>
  <si>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</si>
  <si>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</si>
  <si>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</si>
  <si>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</si>
  <si>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</si>
  <si>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</si>
  <si>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</si>
  <si>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</si>
  <si>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</si>
  <si>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</si>
  <si>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</si>
  <si>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</si>
  <si>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</si>
  <si>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</si>
  <si>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</si>
  <si>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</si>
  <si>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</si>
  <si>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</si>
  <si>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</si>
  <si>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</si>
  <si>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</si>
  <si>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</si>
  <si>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</si>
  <si>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</si>
  <si>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</si>
  <si>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</si>
  <si>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</si>
  <si>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</si>
  <si>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</si>
  <si>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</si>
  <si>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</si>
  <si>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</si>
  <si>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</si>
  <si>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</si>
  <si>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</si>
  <si>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</si>
  <si>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</si>
  <si>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</si>
  <si>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</si>
  <si>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</si>
  <si>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</si>
  <si>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</si>
  <si>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</si>
  <si>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</si>
  <si>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</si>
  <si>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</si>
  <si>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</si>
  <si>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</si>
  <si>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</si>
  <si>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</si>
  <si>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</si>
  <si>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</si>
  <si>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</si>
  <si>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</si>
  <si>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</si>
  <si>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</si>
  <si>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</si>
  <si>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</si>
  <si>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</si>
  <si>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</si>
  <si>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</si>
  <si>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</si>
  <si>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</si>
  <si>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</si>
  <si>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</si>
  <si>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</si>
  <si>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</si>
  <si>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</si>
  <si>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</si>
  <si>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</si>
  <si>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</si>
  <si>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</si>
  <si>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</si>
  <si>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</si>
  <si>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</si>
  <si>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</si>
  <si>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</si>
  <si>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</si>
  <si>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</si>
  <si>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</si>
  <si>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</si>
  <si>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</si>
  <si>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</si>
  <si>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</si>
  <si>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</si>
  <si>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</si>
  <si>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</si>
  <si>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</si>
  <si>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</si>
  <si>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</si>
  <si>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</si>
  <si>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</si>
  <si>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</si>
  <si>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</si>
  <si>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</si>
  <si>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</si>
  <si>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</si>
  <si>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</si>
  <si>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</si>
  <si>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</si>
  <si>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</si>
  <si>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</si>
  <si>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</si>
  <si>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</si>
  <si>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</si>
  <si>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</si>
  <si>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</si>
  <si>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</si>
  <si>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</si>
  <si>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</si>
  <si>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</si>
  <si>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</si>
  <si>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</si>
  <si>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</si>
  <si>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</si>
  <si>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</si>
  <si>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</si>
  <si>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</si>
  <si>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</si>
  <si>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</si>
  <si>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</si>
  <si>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</si>
  <si>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</si>
  <si>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</si>
  <si>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</si>
  <si>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</si>
  <si>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</si>
  <si>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</si>
  <si>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</si>
  <si>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</si>
  <si>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</si>
  <si>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</si>
  <si>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</si>
  <si>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</si>
  <si>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</si>
  <si>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</si>
  <si>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</si>
  <si>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</si>
  <si>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</si>
  <si>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</si>
  <si>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</si>
  <si>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</si>
  <si>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</si>
  <si>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</si>
  <si>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</si>
  <si>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</si>
  <si>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</si>
  <si>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</si>
  <si>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</si>
  <si>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</si>
  <si>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</si>
  <si>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</si>
  <si>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</si>
  <si>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</si>
  <si>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</si>
  <si>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</si>
  <si>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</si>
  <si>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</si>
  <si>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</si>
  <si>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</si>
  <si>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</si>
  <si>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</si>
  <si>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</si>
  <si>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</si>
  <si>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</si>
  <si>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</si>
  <si>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</si>
  <si>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</si>
  <si>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</si>
  <si>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</si>
  <si>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</si>
  <si>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</si>
  <si>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</si>
  <si>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</si>
  <si>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</si>
  <si>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</si>
  <si>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</si>
  <si>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</si>
  <si>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</si>
  <si>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</si>
  <si>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</si>
  <si>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</si>
  <si>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</si>
  <si>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</si>
  <si>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</si>
  <si>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</si>
  <si>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</si>
  <si>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</si>
  <si>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</si>
  <si>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</si>
  <si>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</si>
  <si>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</si>
  <si>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</si>
  <si>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</si>
  <si>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</si>
  <si>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</si>
  <si>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</si>
  <si>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</si>
  <si>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</si>
  <si>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</si>
  <si>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</si>
  <si>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</si>
  <si>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</si>
  <si>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</si>
  <si>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</si>
  <si>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</si>
  <si>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</si>
  <si>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</si>
  <si>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</si>
  <si>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</si>
  <si>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</si>
  <si>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</si>
  <si>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</si>
  <si>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</si>
  <si>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</si>
  <si>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</si>
  <si>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</si>
  <si>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</si>
  <si>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</si>
  <si>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</si>
  <si>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</si>
  <si>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</si>
  <si>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</si>
  <si>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</si>
  <si>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</si>
  <si>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</si>
  <si>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</si>
  <si>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</si>
  <si>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</si>
  <si>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</si>
  <si>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</si>
  <si>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</si>
  <si>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</si>
  <si>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</si>
  <si>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</si>
  <si>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</si>
  <si>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</si>
  <si>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</si>
  <si>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</si>
  <si>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</si>
  <si>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</si>
  <si>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</si>
  <si>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</si>
  <si>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</si>
  <si>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</si>
  <si>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</si>
  <si>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</si>
  <si>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</si>
  <si>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</si>
  <si>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</si>
  <si>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</si>
  <si>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</si>
  <si>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</si>
  <si>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</si>
  <si>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</si>
  <si>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</si>
  <si>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</si>
  <si>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</si>
  <si>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</si>
  <si>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</si>
  <si>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</si>
  <si>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</si>
  <si>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</si>
  <si>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</si>
  <si>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</si>
  <si>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</si>
  <si>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</si>
  <si>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</si>
  <si>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</si>
  <si>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</si>
  <si>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</si>
  <si>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</si>
  <si>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</si>
  <si>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</si>
  <si>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</si>
  <si>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</si>
  <si>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</si>
  <si>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</si>
  <si>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</si>
  <si>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</si>
  <si>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</si>
  <si>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</si>
  <si>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</si>
  <si>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</si>
  <si>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</si>
  <si>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</si>
  <si>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</si>
  <si>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</si>
  <si>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</si>
  <si>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</si>
  <si>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</si>
  <si>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</si>
  <si>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</si>
  <si>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</si>
  <si>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</si>
  <si>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</si>
  <si>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</si>
  <si>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</si>
  <si>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</si>
  <si>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</si>
  <si>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</si>
  <si>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</si>
  <si>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</si>
  <si>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</si>
  <si>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</si>
  <si>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</si>
  <si>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</si>
  <si>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</si>
  <si>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</si>
  <si>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</si>
  <si>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</si>
  <si>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</si>
  <si>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</si>
  <si>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</si>
  <si>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</si>
  <si>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</si>
  <si>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</si>
  <si>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</si>
  <si>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</si>
  <si>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</si>
  <si>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</si>
  <si>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</si>
  <si>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</si>
  <si>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</si>
  <si>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</si>
  <si>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</si>
  <si>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</si>
  <si>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</si>
  <si>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</si>
  <si>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</si>
  <si>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</si>
  <si>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</si>
  <si>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</si>
  <si>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</si>
  <si>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</si>
  <si>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</si>
  <si>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</si>
  <si>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</si>
  <si>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</si>
  <si>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</si>
  <si>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</si>
  <si>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</si>
  <si>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</si>
  <si>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</si>
  <si>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</si>
  <si>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</si>
  <si>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</si>
  <si>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</si>
  <si>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</si>
  <si>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</si>
  <si>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</si>
  <si>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</si>
  <si>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</si>
  <si>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</si>
  <si>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</si>
  <si>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</si>
  <si>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</si>
  <si>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</si>
  <si>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</si>
  <si>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</si>
  <si>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</si>
  <si>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</si>
  <si>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</si>
  <si>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</si>
  <si>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</si>
  <si>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</si>
  <si>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</si>
  <si>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</si>
  <si>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</si>
  <si>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</si>
  <si>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</si>
  <si>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</si>
  <si>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</si>
  <si>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</si>
  <si>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</si>
  <si>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</si>
  <si>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</si>
  <si>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</si>
  <si>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</si>
  <si>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</si>
  <si>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</si>
  <si>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</si>
  <si>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</si>
  <si>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</si>
  <si>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</si>
  <si>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</si>
  <si>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</si>
  <si>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</si>
  <si>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</si>
  <si>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</si>
  <si>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</si>
  <si>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</si>
  <si>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</si>
  <si>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</si>
  <si>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</si>
  <si>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</si>
  <si>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</si>
  <si>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</si>
  <si>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</si>
  <si>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</si>
  <si>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</si>
  <si>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</si>
  <si>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</si>
  <si>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</si>
  <si>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</si>
  <si>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</si>
  <si>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</si>
  <si>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</si>
  <si>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</si>
  <si>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</si>
  <si>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</si>
  <si>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</si>
  <si>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</si>
  <si>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</si>
  <si>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</si>
  <si>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</si>
  <si>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</si>
  <si>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</si>
  <si>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</si>
  <si>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</si>
  <si>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</si>
  <si>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</si>
  <si>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</si>
  <si>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</si>
  <si>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</si>
  <si>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</si>
  <si>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</si>
  <si>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</si>
  <si>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</si>
  <si>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</si>
  <si>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</si>
  <si>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</si>
  <si>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</si>
  <si>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</si>
  <si>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</si>
  <si>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</si>
  <si>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</si>
  <si>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</si>
  <si>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</si>
  <si>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</si>
  <si>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</si>
  <si>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</si>
  <si>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</si>
  <si>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</si>
  <si>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</si>
  <si>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</si>
  <si>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</si>
  <si>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</si>
  <si>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</si>
  <si>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</si>
  <si>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</si>
  <si>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</si>
  <si>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</si>
  <si>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</si>
  <si>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</si>
  <si>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</si>
  <si>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</si>
  <si>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</si>
  <si>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</si>
  <si>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</si>
  <si>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</si>
  <si>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</si>
  <si>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</si>
  <si>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</si>
  <si>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</si>
  <si>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</si>
  <si>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</si>
  <si>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</si>
  <si>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</si>
  <si>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</si>
  <si>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</si>
  <si>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</si>
  <si>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</si>
  <si>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</si>
  <si>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</si>
  <si>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</si>
  <si>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</si>
  <si>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</si>
  <si>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</si>
  <si>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</si>
  <si>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</si>
  <si>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</si>
  <si>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</si>
  <si>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</si>
  <si>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</si>
  <si>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</si>
  <si>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</si>
  <si>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</si>
  <si>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</si>
  <si>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</si>
  <si>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</si>
  <si>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</si>
  <si>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</si>
  <si>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</si>
  <si>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</si>
  <si>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</si>
  <si>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</si>
  <si>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</si>
  <si>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</si>
  <si>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</si>
  <si>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</si>
  <si>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</si>
  <si>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</si>
  <si>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</si>
  <si>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</si>
  <si>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</si>
  <si>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</si>
  <si>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</si>
  <si>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</si>
  <si>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</si>
  <si>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</si>
  <si>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</si>
  <si>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</si>
  <si>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</si>
  <si>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</si>
  <si>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</si>
  <si>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</si>
  <si>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</si>
  <si>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</si>
  <si>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</si>
  <si>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</si>
  <si>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</si>
  <si>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</si>
  <si>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</si>
  <si>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</si>
  <si>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</si>
  <si>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</si>
  <si>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</si>
  <si>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</si>
  <si>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</si>
  <si>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6/10</t>
  </si>
  <si>
    <t>9/26</t>
  </si>
  <si>
    <t>MASCENIC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</si>
</sst>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342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1219294.74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1357.93</v>
      </c>
      <c r="G10" s="18"/>
      <c r="H10" s="18"/>
      <c r="I10" s="18">
        <v>0</v>
      </c>
      <c r="J10" s="67">
        <f>SUM(I440)</f>
        <v>322097.81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34766.400000000001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0</v>
      </c>
      <c r="I13" s="18" t="s">
        <v>287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12914-1763.4</f>
        <v>11150.6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10090.9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1266569.67</v>
      </c>
      <c r="G19" s="41">
        <f>SUM(G9:G18)</f>
        <v>10090.9</v>
      </c>
      <c r="H19" s="41">
        <f>SUM(H9:H18)</f>
        <v>0</v>
      </c>
      <c r="I19" s="41">
        <f>SUM(I9:I18)</f>
        <v>0</v>
      </c>
      <c r="J19" s="41">
        <f>SUM(J9:J18)</f>
        <v>322097.81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-1478405.38+1219294.74+64109.98-6990</f>
        <v>-201990.65999999989</v>
      </c>
      <c r="G22" s="18">
        <v>22658.77</v>
      </c>
      <c r="H22" s="18">
        <f>179331.89</f>
        <v>179331.89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24139.78+93254.8-5495.99</f>
        <v>111898.59</v>
      </c>
      <c r="G24" s="18">
        <v>218.12</v>
      </c>
      <c r="H24" s="18">
        <f>2027.15+2399.38</f>
        <v>4426.5300000000007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41647.49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4091.79</v>
      </c>
      <c r="H30" s="18">
        <v>1905.87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9237.67</v>
      </c>
      <c r="G31" s="18"/>
      <c r="H31" s="18">
        <v>0</v>
      </c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-39206.909999999894</v>
      </c>
      <c r="G32" s="41">
        <f>SUM(G22:G31)</f>
        <v>26968.68</v>
      </c>
      <c r="H32" s="41">
        <f>SUM(H22:H31)</f>
        <v>185664.29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8811.44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220785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322097.81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78221.79+5495.99</f>
        <v>83717.78</v>
      </c>
      <c r="G49" s="18">
        <v>-25689.22</v>
      </c>
      <c r="H49" s="18">
        <f>2744.74+432184.2-618193.85-2399.38</f>
        <v>-185664.28999999998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259748.42+17423353.9-16403923.54-64109.98+6990-220785</f>
        <v>1001273.8000000012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1305776.5800000012</v>
      </c>
      <c r="G51" s="41">
        <f>SUM(G35:G50)</f>
        <v>-16877.78</v>
      </c>
      <c r="H51" s="41">
        <f>SUM(H35:H50)</f>
        <v>-185664.28999999998</v>
      </c>
      <c r="I51" s="41">
        <f>SUM(I35:I50)</f>
        <v>0</v>
      </c>
      <c r="J51" s="41">
        <f>SUM(J35:J50)</f>
        <v>322097.81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1266569.6700000013</v>
      </c>
      <c r="G52" s="41">
        <f>G51+G32</f>
        <v>10090.900000000001</v>
      </c>
      <c r="H52" s="41">
        <f>H51+H32</f>
        <v>0</v>
      </c>
      <c r="I52" s="41">
        <f>I51+I32</f>
        <v>0</v>
      </c>
      <c r="J52" s="41">
        <f>J51+J32</f>
        <v>322097.81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7755845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7755845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9097.5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32079.360000000001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41176.86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135.06</v>
      </c>
      <c r="G96" s="18"/>
      <c r="H96" s="18"/>
      <c r="I96" s="4"/>
      <c r="J96" s="18">
        <v>4927.33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151034.22+2903.2+42536.4</f>
        <v>196473.82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8225.64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2005+1067.48</f>
        <v>3072.48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93987.51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64423.42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16033.75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182805.38</v>
      </c>
      <c r="G111" s="41">
        <f>SUM(G96:G110)</f>
        <v>196473.82</v>
      </c>
      <c r="H111" s="41">
        <f>SUM(H96:H110)</f>
        <v>3072.48</v>
      </c>
      <c r="I111" s="41">
        <f>SUM(I96:I110)</f>
        <v>0</v>
      </c>
      <c r="J111" s="41">
        <f>SUM(J96:J110)</f>
        <v>4927.33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7979827.2400000002</v>
      </c>
      <c r="G112" s="41">
        <f>G60+G111</f>
        <v>196473.82</v>
      </c>
      <c r="H112" s="41">
        <f>H60+H79+H94+H111</f>
        <v>3072.48</v>
      </c>
      <c r="I112" s="41">
        <f>I60+I111</f>
        <v>0</v>
      </c>
      <c r="J112" s="41">
        <f>J60+J111</f>
        <v>4927.33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5621487.5199999996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1075586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6697073.5199999996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810885.38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131109.57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47638.76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4545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5548.85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994178.71</v>
      </c>
      <c r="G136" s="41">
        <f>SUM(G123:G135)</f>
        <v>5548.85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7691252.2299999995</v>
      </c>
      <c r="G140" s="41">
        <f>G121+SUM(G136:G137)</f>
        <v>5548.85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46183.95+239632.48</f>
        <v>285816.43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3800+21068.59+12715.56+14886+56713.5</f>
        <v>109183.65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189142.83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-67096.45+96603.04+4605.05</f>
        <v>34111.64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146062.49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39365.120000000003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146062.49</v>
      </c>
      <c r="G162" s="41">
        <f>SUM(G150:G161)</f>
        <v>228507.94999999998</v>
      </c>
      <c r="H162" s="41">
        <f>SUM(H150:H161)</f>
        <v>429111.72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146062.49</v>
      </c>
      <c r="G169" s="41">
        <f>G147+G162+SUM(G163:G168)</f>
        <v>228507.94999999998</v>
      </c>
      <c r="H169" s="41">
        <f>H147+H162+SUM(H163:H168)</f>
        <v>429111.72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921877.02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921877.02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4"/>
      <c r="J179" s="18">
        <v>85000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59223.92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59223.92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85000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981100.94000000006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85000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16798242.899999999</v>
      </c>
      <c r="G193" s="47">
        <f>G112+G140+G169+G192</f>
        <v>430530.62</v>
      </c>
      <c r="H193" s="47">
        <f>H112+H140+H169+H192</f>
        <v>432184.19999999995</v>
      </c>
      <c r="I193" s="47">
        <f>I112+I140+I169+I192</f>
        <v>0</v>
      </c>
      <c r="J193" s="47">
        <f>J112+J140+J192</f>
        <v>89927.33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1280773.19</v>
      </c>
      <c r="G197" s="18">
        <v>575701.4</v>
      </c>
      <c r="H197" s="18">
        <v>16155.39</v>
      </c>
      <c r="I197" s="18">
        <v>82827.570000000007</v>
      </c>
      <c r="J197" s="18">
        <v>4625.38</v>
      </c>
      <c r="K197" s="18">
        <v>0</v>
      </c>
      <c r="L197" s="19">
        <f>SUM(F197:K197)</f>
        <v>1960082.9299999997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251170.04</v>
      </c>
      <c r="G198" s="18">
        <v>95168.7</v>
      </c>
      <c r="H198" s="18">
        <v>78602.460000000006</v>
      </c>
      <c r="I198" s="18">
        <v>1077.3599999999999</v>
      </c>
      <c r="J198" s="18">
        <v>2066.02</v>
      </c>
      <c r="K198" s="18">
        <v>0</v>
      </c>
      <c r="L198" s="19">
        <f>SUM(F198:K198)</f>
        <v>428084.58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13685.58</v>
      </c>
      <c r="G200" s="18">
        <v>2953.6</v>
      </c>
      <c r="H200" s="18">
        <v>0</v>
      </c>
      <c r="I200" s="18">
        <v>2152.65</v>
      </c>
      <c r="J200" s="18">
        <v>0</v>
      </c>
      <c r="K200" s="18">
        <v>0</v>
      </c>
      <c r="L200" s="19">
        <f>SUM(F200:K200)</f>
        <v>18791.830000000002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225614.63</v>
      </c>
      <c r="G202" s="18">
        <v>90747.11</v>
      </c>
      <c r="H202" s="18">
        <v>52113.88</v>
      </c>
      <c r="I202" s="18">
        <v>3628.17</v>
      </c>
      <c r="J202" s="18">
        <v>0</v>
      </c>
      <c r="K202" s="18">
        <v>293</v>
      </c>
      <c r="L202" s="19">
        <f t="shared" ref="L202:L208" si="0">SUM(F202:K202)</f>
        <v>372396.79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42901</v>
      </c>
      <c r="G203" s="18">
        <v>52729.51</v>
      </c>
      <c r="H203" s="18">
        <v>0</v>
      </c>
      <c r="I203" s="18">
        <v>14574.41</v>
      </c>
      <c r="J203" s="18">
        <v>0</v>
      </c>
      <c r="K203" s="18">
        <v>50</v>
      </c>
      <c r="L203" s="19">
        <f t="shared" si="0"/>
        <v>110254.92000000001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110629.53+4433.31</f>
        <v>115062.84</v>
      </c>
      <c r="G204" s="18">
        <f>49748.94+491.57</f>
        <v>50240.51</v>
      </c>
      <c r="H204" s="18">
        <f>13434.91+37968.4</f>
        <v>51403.31</v>
      </c>
      <c r="I204" s="18">
        <f>1598.58+639.67</f>
        <v>2238.25</v>
      </c>
      <c r="J204" s="18">
        <v>685.33</v>
      </c>
      <c r="K204" s="18">
        <f>1244.61+4434.67</f>
        <v>5679.28</v>
      </c>
      <c r="L204" s="19">
        <f t="shared" si="0"/>
        <v>225309.52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225829.92</v>
      </c>
      <c r="G205" s="18">
        <v>102669.67</v>
      </c>
      <c r="H205" s="18">
        <v>15058.94</v>
      </c>
      <c r="I205" s="18">
        <v>2655.47</v>
      </c>
      <c r="J205" s="18">
        <v>0</v>
      </c>
      <c r="K205" s="18">
        <v>2226.0700000000002</v>
      </c>
      <c r="L205" s="19">
        <f t="shared" si="0"/>
        <v>348440.07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74136.55</v>
      </c>
      <c r="G206" s="18">
        <v>19701.580000000002</v>
      </c>
      <c r="H206" s="18">
        <v>13992.64</v>
      </c>
      <c r="I206" s="18">
        <v>4758.1400000000003</v>
      </c>
      <c r="J206" s="18">
        <v>0</v>
      </c>
      <c r="K206" s="18">
        <v>794.87</v>
      </c>
      <c r="L206" s="19">
        <f t="shared" si="0"/>
        <v>113383.78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175329.83</v>
      </c>
      <c r="G207" s="18">
        <v>107902.34</v>
      </c>
      <c r="H207" s="18">
        <v>94775.45</v>
      </c>
      <c r="I207" s="18">
        <v>116522.85</v>
      </c>
      <c r="J207" s="18">
        <v>16296.54</v>
      </c>
      <c r="K207" s="18"/>
      <c r="L207" s="19">
        <f t="shared" si="0"/>
        <v>510827.00999999995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234801.01</v>
      </c>
      <c r="I208" s="18"/>
      <c r="J208" s="18"/>
      <c r="K208" s="18"/>
      <c r="L208" s="19">
        <f t="shared" si="0"/>
        <v>234801.01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39557.96</v>
      </c>
      <c r="G209" s="18">
        <v>13361.9</v>
      </c>
      <c r="H209" s="18">
        <v>2039.06</v>
      </c>
      <c r="I209" s="18">
        <v>2939.61</v>
      </c>
      <c r="J209" s="18">
        <v>1838.45</v>
      </c>
      <c r="K209" s="18">
        <v>519.66999999999996</v>
      </c>
      <c r="L209" s="19">
        <f>SUM(F209:K209)</f>
        <v>60256.649999999994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2444061.54</v>
      </c>
      <c r="G211" s="41">
        <f t="shared" si="1"/>
        <v>1111176.3199999998</v>
      </c>
      <c r="H211" s="41">
        <f t="shared" si="1"/>
        <v>558942.14000000013</v>
      </c>
      <c r="I211" s="41">
        <f t="shared" si="1"/>
        <v>233374.47999999998</v>
      </c>
      <c r="J211" s="41">
        <f t="shared" si="1"/>
        <v>25511.72</v>
      </c>
      <c r="K211" s="41">
        <f t="shared" si="1"/>
        <v>9562.8900000000012</v>
      </c>
      <c r="L211" s="41">
        <f t="shared" si="1"/>
        <v>4382629.09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1240684.78</v>
      </c>
      <c r="G215" s="18">
        <v>618889.68000000005</v>
      </c>
      <c r="H215" s="18">
        <v>10859.47</v>
      </c>
      <c r="I215" s="18">
        <v>47341.94</v>
      </c>
      <c r="J215" s="18">
        <v>43599.8</v>
      </c>
      <c r="K215" s="18">
        <v>1828</v>
      </c>
      <c r="L215" s="19">
        <f>SUM(F215:K215)</f>
        <v>1963203.67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204842.23999999999</v>
      </c>
      <c r="G216" s="18">
        <v>79958.94</v>
      </c>
      <c r="H216" s="18">
        <v>42075.68</v>
      </c>
      <c r="I216" s="18">
        <v>258</v>
      </c>
      <c r="J216" s="18">
        <v>474.41</v>
      </c>
      <c r="K216" s="18">
        <v>0</v>
      </c>
      <c r="L216" s="19">
        <f>SUM(F216:K216)</f>
        <v>327609.26999999996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22229.03</v>
      </c>
      <c r="G218" s="18">
        <v>3127.69</v>
      </c>
      <c r="H218" s="18">
        <v>5931.5</v>
      </c>
      <c r="I218" s="18">
        <v>4743.96</v>
      </c>
      <c r="J218" s="18">
        <v>0</v>
      </c>
      <c r="K218" s="18">
        <v>1095</v>
      </c>
      <c r="L218" s="19">
        <f>SUM(F218:K218)</f>
        <v>37127.18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196241.18</v>
      </c>
      <c r="G220" s="18">
        <v>100670</v>
      </c>
      <c r="H220" s="18">
        <v>11691.36</v>
      </c>
      <c r="I220" s="18">
        <v>1550.73</v>
      </c>
      <c r="J220" s="18">
        <v>0</v>
      </c>
      <c r="K220" s="18">
        <v>411.5</v>
      </c>
      <c r="L220" s="19">
        <f t="shared" ref="L220:L226" si="2">SUM(F220:K220)</f>
        <v>310564.76999999996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25760.400000000001</v>
      </c>
      <c r="G221" s="18">
        <v>20071.259999999998</v>
      </c>
      <c r="H221" s="18">
        <v>87.2</v>
      </c>
      <c r="I221" s="18">
        <v>6460.72</v>
      </c>
      <c r="J221" s="18">
        <v>730.73</v>
      </c>
      <c r="K221" s="18">
        <v>0</v>
      </c>
      <c r="L221" s="19">
        <f t="shared" si="2"/>
        <v>53110.310000000005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110629.53+4408.4</f>
        <v>115037.93</v>
      </c>
      <c r="G222" s="18">
        <f>49748.94+491.55</f>
        <v>50240.490000000005</v>
      </c>
      <c r="H222" s="18">
        <f>13434.91+37770.16</f>
        <v>51205.070000000007</v>
      </c>
      <c r="I222" s="18">
        <f>1598.58+619.25</f>
        <v>2217.83</v>
      </c>
      <c r="J222" s="18">
        <v>685.33</v>
      </c>
      <c r="K222" s="18">
        <f>1244.61+4654.55</f>
        <v>5899.16</v>
      </c>
      <c r="L222" s="19">
        <f t="shared" si="2"/>
        <v>225285.80999999997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233300.88</v>
      </c>
      <c r="G223" s="18">
        <v>103620.82</v>
      </c>
      <c r="H223" s="18">
        <v>9379.35</v>
      </c>
      <c r="I223" s="18">
        <v>3976.82</v>
      </c>
      <c r="J223" s="18">
        <v>0</v>
      </c>
      <c r="K223" s="18">
        <v>1735.44</v>
      </c>
      <c r="L223" s="19">
        <f t="shared" si="2"/>
        <v>352013.31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74136.55</v>
      </c>
      <c r="G224" s="18">
        <v>19701.580000000002</v>
      </c>
      <c r="H224" s="18">
        <v>13992.64</v>
      </c>
      <c r="I224" s="18">
        <v>4758.1400000000003</v>
      </c>
      <c r="J224" s="18">
        <v>0</v>
      </c>
      <c r="K224" s="18">
        <v>794.87</v>
      </c>
      <c r="L224" s="19">
        <f t="shared" si="2"/>
        <v>113383.78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133180.49</v>
      </c>
      <c r="G225" s="18">
        <v>86800.91</v>
      </c>
      <c r="H225" s="18">
        <v>126979.97</v>
      </c>
      <c r="I225" s="18">
        <v>71865.56</v>
      </c>
      <c r="J225" s="18">
        <v>18725.97</v>
      </c>
      <c r="K225" s="18"/>
      <c r="L225" s="19">
        <f t="shared" si="2"/>
        <v>437552.9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202467.44</v>
      </c>
      <c r="I226" s="18"/>
      <c r="J226" s="18"/>
      <c r="K226" s="18"/>
      <c r="L226" s="19">
        <f t="shared" si="2"/>
        <v>202467.44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44250.1</v>
      </c>
      <c r="G227" s="18">
        <v>15007.62</v>
      </c>
      <c r="H227" s="18">
        <v>15304.56</v>
      </c>
      <c r="I227" s="18">
        <v>1787.28</v>
      </c>
      <c r="J227" s="18">
        <v>1420.68</v>
      </c>
      <c r="K227" s="18">
        <v>519.66</v>
      </c>
      <c r="L227" s="19">
        <f>SUM(F227:K227)</f>
        <v>78289.899999999994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2289663.5799999996</v>
      </c>
      <c r="G229" s="41">
        <f>SUM(G215:G228)</f>
        <v>1098088.9900000002</v>
      </c>
      <c r="H229" s="41">
        <f>SUM(H215:H228)</f>
        <v>489974.24</v>
      </c>
      <c r="I229" s="41">
        <f>SUM(I215:I228)</f>
        <v>144960.98000000001</v>
      </c>
      <c r="J229" s="41">
        <f>SUM(J215:J228)</f>
        <v>65636.920000000013</v>
      </c>
      <c r="K229" s="41">
        <f t="shared" si="3"/>
        <v>12283.630000000001</v>
      </c>
      <c r="L229" s="41">
        <f t="shared" si="3"/>
        <v>4100608.34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1514471.5</v>
      </c>
      <c r="G233" s="18">
        <v>723409.99</v>
      </c>
      <c r="H233" s="18">
        <v>6621.11</v>
      </c>
      <c r="I233" s="18">
        <v>105323.53</v>
      </c>
      <c r="J233" s="18">
        <v>39591.050000000003</v>
      </c>
      <c r="K233" s="18">
        <v>1003</v>
      </c>
      <c r="L233" s="19">
        <f>SUM(F233:K233)</f>
        <v>2390420.1799999997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253923.49</v>
      </c>
      <c r="G234" s="18">
        <v>110022.68</v>
      </c>
      <c r="H234" s="18">
        <v>210582.86</v>
      </c>
      <c r="I234" s="18">
        <v>1578.96</v>
      </c>
      <c r="J234" s="18">
        <v>2182.4899999999998</v>
      </c>
      <c r="K234" s="18">
        <v>0</v>
      </c>
      <c r="L234" s="19">
        <f>SUM(F234:K234)</f>
        <v>578290.48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98645.43</v>
      </c>
      <c r="G235" s="18">
        <v>35805.800000000003</v>
      </c>
      <c r="H235" s="18">
        <v>4846.4799999999996</v>
      </c>
      <c r="I235" s="18">
        <v>5709.73</v>
      </c>
      <c r="J235" s="18">
        <v>0</v>
      </c>
      <c r="K235" s="18">
        <v>4467.53</v>
      </c>
      <c r="L235" s="19">
        <f>SUM(F235:K235)</f>
        <v>149474.97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73656</v>
      </c>
      <c r="G236" s="18">
        <v>9621.6200000000008</v>
      </c>
      <c r="H236" s="18">
        <v>21316.959999999999</v>
      </c>
      <c r="I236" s="18">
        <v>3265.28</v>
      </c>
      <c r="J236" s="18">
        <v>9515.15</v>
      </c>
      <c r="K236" s="18">
        <v>7670</v>
      </c>
      <c r="L236" s="19">
        <f>SUM(F236:K236)</f>
        <v>125045.00999999998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262827.15999999997</v>
      </c>
      <c r="G238" s="18">
        <v>99638.09</v>
      </c>
      <c r="H238" s="18">
        <v>37867.35</v>
      </c>
      <c r="I238" s="18">
        <v>6166.54</v>
      </c>
      <c r="J238" s="18">
        <v>713.85</v>
      </c>
      <c r="K238" s="18">
        <v>578</v>
      </c>
      <c r="L238" s="19">
        <f t="shared" ref="L238:L244" si="4">SUM(F238:K238)</f>
        <v>407790.98999999993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51669</v>
      </c>
      <c r="G239" s="18">
        <v>54530.73</v>
      </c>
      <c r="H239" s="18">
        <v>160.54</v>
      </c>
      <c r="I239" s="18">
        <v>8889.57</v>
      </c>
      <c r="J239" s="18">
        <v>967</v>
      </c>
      <c r="K239" s="18">
        <v>0</v>
      </c>
      <c r="L239" s="19">
        <f t="shared" si="4"/>
        <v>116216.84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110629.54+4481.2</f>
        <v>115110.73999999999</v>
      </c>
      <c r="G240" s="18">
        <f>49748.93+498.09</f>
        <v>50247.02</v>
      </c>
      <c r="H240" s="18">
        <f>13434.91+38347.84</f>
        <v>51782.75</v>
      </c>
      <c r="I240" s="18">
        <f>1598.57+648.07</f>
        <v>2246.64</v>
      </c>
      <c r="J240" s="18">
        <v>685.34</v>
      </c>
      <c r="K240" s="18">
        <f>1244.6+4452.36</f>
        <v>5696.9599999999991</v>
      </c>
      <c r="L240" s="19">
        <f t="shared" si="4"/>
        <v>225769.44999999998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261929.84</v>
      </c>
      <c r="G241" s="18">
        <v>93500.160000000003</v>
      </c>
      <c r="H241" s="18">
        <v>22770.639999999999</v>
      </c>
      <c r="I241" s="18">
        <v>6960.12</v>
      </c>
      <c r="J241" s="18">
        <v>906.99</v>
      </c>
      <c r="K241" s="18">
        <v>20327.7</v>
      </c>
      <c r="L241" s="19">
        <f t="shared" si="4"/>
        <v>406395.45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74136.56</v>
      </c>
      <c r="G242" s="18">
        <v>19701.580000000002</v>
      </c>
      <c r="H242" s="18">
        <v>13992.65</v>
      </c>
      <c r="I242" s="18">
        <v>4758.1400000000003</v>
      </c>
      <c r="J242" s="18">
        <v>0</v>
      </c>
      <c r="K242" s="18">
        <v>794.86</v>
      </c>
      <c r="L242" s="19">
        <f t="shared" si="4"/>
        <v>113383.79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150026.16</v>
      </c>
      <c r="G243" s="18">
        <v>86432.17</v>
      </c>
      <c r="H243" s="18">
        <v>117483.47</v>
      </c>
      <c r="I243" s="18">
        <v>123505.78</v>
      </c>
      <c r="J243" s="18">
        <v>3389.23</v>
      </c>
      <c r="K243" s="18">
        <v>0</v>
      </c>
      <c r="L243" s="19">
        <f t="shared" si="4"/>
        <v>480836.81000000006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303058.69</v>
      </c>
      <c r="I244" s="18"/>
      <c r="J244" s="18"/>
      <c r="K244" s="18"/>
      <c r="L244" s="19">
        <f t="shared" si="4"/>
        <v>303058.69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73556.31</v>
      </c>
      <c r="G245" s="18">
        <v>25117.18</v>
      </c>
      <c r="H245" s="18">
        <v>14215.8</v>
      </c>
      <c r="I245" s="18">
        <v>1841.44</v>
      </c>
      <c r="J245" s="18">
        <v>1463.72</v>
      </c>
      <c r="K245" s="18">
        <v>516.99</v>
      </c>
      <c r="L245" s="19">
        <f>SUM(F245:K245)</f>
        <v>116711.44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2929952.1900000004</v>
      </c>
      <c r="G247" s="41">
        <f t="shared" si="5"/>
        <v>1308027.0199999998</v>
      </c>
      <c r="H247" s="41">
        <f t="shared" si="5"/>
        <v>804699.3</v>
      </c>
      <c r="I247" s="41">
        <f t="shared" si="5"/>
        <v>270245.73000000004</v>
      </c>
      <c r="J247" s="41">
        <f t="shared" si="5"/>
        <v>59414.82</v>
      </c>
      <c r="K247" s="41">
        <f t="shared" si="5"/>
        <v>41055.040000000001</v>
      </c>
      <c r="L247" s="41">
        <f t="shared" si="5"/>
        <v>5413394.0999999996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7663677.3099999996</v>
      </c>
      <c r="G257" s="41">
        <f t="shared" si="8"/>
        <v>3517292.33</v>
      </c>
      <c r="H257" s="41">
        <f t="shared" si="8"/>
        <v>1853615.6800000002</v>
      </c>
      <c r="I257" s="41">
        <f t="shared" si="8"/>
        <v>648581.18999999994</v>
      </c>
      <c r="J257" s="41">
        <f t="shared" si="8"/>
        <v>150563.46000000002</v>
      </c>
      <c r="K257" s="41">
        <f t="shared" si="8"/>
        <v>62901.560000000005</v>
      </c>
      <c r="L257" s="41">
        <f t="shared" si="8"/>
        <v>13896631.529999999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1480000</v>
      </c>
      <c r="L260" s="19">
        <f>SUM(F260:K260)</f>
        <v>1480000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993916</v>
      </c>
      <c r="L261" s="19">
        <f>SUM(F261:K261)</f>
        <v>993916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85000</v>
      </c>
      <c r="L266" s="19">
        <f t="shared" si="9"/>
        <v>85000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2558916</v>
      </c>
      <c r="L270" s="41">
        <f t="shared" si="9"/>
        <v>2558916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7663677.3099999996</v>
      </c>
      <c r="G271" s="42">
        <f t="shared" si="11"/>
        <v>3517292.33</v>
      </c>
      <c r="H271" s="42">
        <f t="shared" si="11"/>
        <v>1853615.6800000002</v>
      </c>
      <c r="I271" s="42">
        <f t="shared" si="11"/>
        <v>648581.18999999994</v>
      </c>
      <c r="J271" s="42">
        <f t="shared" si="11"/>
        <v>150563.46000000002</v>
      </c>
      <c r="K271" s="42">
        <f t="shared" si="11"/>
        <v>2621817.56</v>
      </c>
      <c r="L271" s="42">
        <f t="shared" si="11"/>
        <v>16455547.529999999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960+60993.6</f>
        <v>61953.599999999999</v>
      </c>
      <c r="G276" s="18">
        <v>10587.82</v>
      </c>
      <c r="H276" s="18">
        <v>0</v>
      </c>
      <c r="I276" s="18">
        <v>36820.870000000003</v>
      </c>
      <c r="J276" s="18">
        <v>0</v>
      </c>
      <c r="K276" s="18">
        <v>5066.6099999999997</v>
      </c>
      <c r="L276" s="19">
        <f>SUM(F276:K276)</f>
        <v>114428.90000000001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31613.27+2968</f>
        <v>34581.270000000004</v>
      </c>
      <c r="G277" s="18">
        <f>7080.76+227.05</f>
        <v>7307.81</v>
      </c>
      <c r="H277" s="18">
        <v>400</v>
      </c>
      <c r="I277" s="18">
        <v>22850.41</v>
      </c>
      <c r="J277" s="18">
        <v>974.17</v>
      </c>
      <c r="K277" s="18"/>
      <c r="L277" s="19">
        <f>SUM(F277:K277)</f>
        <v>66113.66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2376.4499999999998</v>
      </c>
      <c r="J279" s="18"/>
      <c r="K279" s="18"/>
      <c r="L279" s="19">
        <f>SUM(F279:K279)</f>
        <v>2376.4499999999998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3800</v>
      </c>
      <c r="I281" s="18"/>
      <c r="J281" s="18"/>
      <c r="K281" s="18"/>
      <c r="L281" s="19">
        <f t="shared" ref="L281:L287" si="12">SUM(F281:K281)</f>
        <v>3800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21415.71</v>
      </c>
      <c r="G282" s="18">
        <v>4390.25</v>
      </c>
      <c r="H282" s="18">
        <v>5486.19</v>
      </c>
      <c r="I282" s="18"/>
      <c r="J282" s="18"/>
      <c r="K282" s="18"/>
      <c r="L282" s="19">
        <f t="shared" si="12"/>
        <v>31292.149999999998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86.7</v>
      </c>
      <c r="I288" s="18">
        <v>20.3</v>
      </c>
      <c r="J288" s="18"/>
      <c r="K288" s="18"/>
      <c r="L288" s="19">
        <f>SUM(F288:K288)</f>
        <v>107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117950.57999999999</v>
      </c>
      <c r="G290" s="42">
        <f t="shared" si="13"/>
        <v>22285.88</v>
      </c>
      <c r="H290" s="42">
        <f t="shared" si="13"/>
        <v>9772.89</v>
      </c>
      <c r="I290" s="42">
        <f t="shared" si="13"/>
        <v>62068.03</v>
      </c>
      <c r="J290" s="42">
        <f t="shared" si="13"/>
        <v>974.17</v>
      </c>
      <c r="K290" s="42">
        <f t="shared" si="13"/>
        <v>5066.6099999999997</v>
      </c>
      <c r="L290" s="41">
        <f t="shared" si="13"/>
        <v>218118.16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31616.26</v>
      </c>
      <c r="G296" s="18">
        <v>7080.76</v>
      </c>
      <c r="H296" s="18">
        <v>400</v>
      </c>
      <c r="I296" s="18">
        <v>22850.41</v>
      </c>
      <c r="J296" s="18">
        <v>974.17</v>
      </c>
      <c r="K296" s="18"/>
      <c r="L296" s="19">
        <f>SUM(F296:K296)</f>
        <v>62921.599999999991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21415.71</v>
      </c>
      <c r="G301" s="18">
        <v>4390.25</v>
      </c>
      <c r="H301" s="18">
        <v>5486.19</v>
      </c>
      <c r="I301" s="18"/>
      <c r="J301" s="18">
        <v>271.95999999999998</v>
      </c>
      <c r="K301" s="18"/>
      <c r="L301" s="19">
        <f t="shared" si="14"/>
        <v>31564.109999999997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>
        <v>86.7</v>
      </c>
      <c r="I307" s="18">
        <v>20.3</v>
      </c>
      <c r="J307" s="18"/>
      <c r="K307" s="18"/>
      <c r="L307" s="19">
        <f>SUM(F307:K307)</f>
        <v>107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53031.97</v>
      </c>
      <c r="G309" s="42">
        <f t="shared" si="15"/>
        <v>11471.01</v>
      </c>
      <c r="H309" s="42">
        <f t="shared" si="15"/>
        <v>5972.8899999999994</v>
      </c>
      <c r="I309" s="42">
        <f t="shared" si="15"/>
        <v>22870.71</v>
      </c>
      <c r="J309" s="42">
        <f t="shared" si="15"/>
        <v>1246.1299999999999</v>
      </c>
      <c r="K309" s="42">
        <f t="shared" si="15"/>
        <v>0</v>
      </c>
      <c r="L309" s="41">
        <f t="shared" si="15"/>
        <v>94592.709999999992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82006.91</v>
      </c>
      <c r="G314" s="18">
        <v>40906.31</v>
      </c>
      <c r="H314" s="18">
        <v>0</v>
      </c>
      <c r="I314" s="18">
        <f>44516.33-6.01</f>
        <v>44510.32</v>
      </c>
      <c r="J314" s="18"/>
      <c r="K314" s="18"/>
      <c r="L314" s="19">
        <f>SUM(F314:K314)</f>
        <v>167423.54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31616.26</v>
      </c>
      <c r="G315" s="18">
        <v>7080.77</v>
      </c>
      <c r="H315" s="18">
        <v>400</v>
      </c>
      <c r="I315" s="18">
        <v>22850.41</v>
      </c>
      <c r="J315" s="18">
        <v>974.16</v>
      </c>
      <c r="K315" s="18"/>
      <c r="L315" s="19">
        <f>SUM(F315:K315)</f>
        <v>62921.600000000006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v>2376.4499999999998</v>
      </c>
      <c r="J317" s="18"/>
      <c r="K317" s="18"/>
      <c r="L317" s="19">
        <f>SUM(F317:K317)</f>
        <v>2376.4499999999998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21415.71</v>
      </c>
      <c r="G320" s="18">
        <v>4390.26</v>
      </c>
      <c r="H320" s="18">
        <v>5486.18</v>
      </c>
      <c r="I320" s="18"/>
      <c r="J320" s="18"/>
      <c r="K320" s="18"/>
      <c r="L320" s="19">
        <f t="shared" si="16"/>
        <v>31292.15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v>86.71</v>
      </c>
      <c r="I326" s="18">
        <v>20.309999999999999</v>
      </c>
      <c r="J326" s="18"/>
      <c r="K326" s="18"/>
      <c r="L326" s="19">
        <f>SUM(F326:K326)</f>
        <v>107.02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135038.88</v>
      </c>
      <c r="G328" s="42">
        <f t="shared" si="17"/>
        <v>52377.340000000004</v>
      </c>
      <c r="H328" s="42">
        <f t="shared" si="17"/>
        <v>5972.89</v>
      </c>
      <c r="I328" s="42">
        <f t="shared" si="17"/>
        <v>69757.489999999991</v>
      </c>
      <c r="J328" s="42">
        <f t="shared" si="17"/>
        <v>974.16</v>
      </c>
      <c r="K328" s="42">
        <f t="shared" si="17"/>
        <v>0</v>
      </c>
      <c r="L328" s="41">
        <f t="shared" si="17"/>
        <v>264120.76000000007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306021.43</v>
      </c>
      <c r="G338" s="41">
        <f t="shared" si="20"/>
        <v>86134.23000000001</v>
      </c>
      <c r="H338" s="41">
        <f t="shared" si="20"/>
        <v>21718.67</v>
      </c>
      <c r="I338" s="41">
        <f t="shared" si="20"/>
        <v>154696.22999999998</v>
      </c>
      <c r="J338" s="41">
        <f t="shared" si="20"/>
        <v>3194.4599999999996</v>
      </c>
      <c r="K338" s="41">
        <f t="shared" si="20"/>
        <v>5066.6099999999997</v>
      </c>
      <c r="L338" s="41">
        <f t="shared" si="20"/>
        <v>576831.63000000012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43761.599999999999</v>
      </c>
      <c r="L344" s="19">
        <f t="shared" ref="L344:L350" si="21">SUM(F344:K344)</f>
        <v>43761.599999999999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43761.599999999999</v>
      </c>
      <c r="L351" s="41">
        <f>SUM(L341:L350)</f>
        <v>43761.599999999999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306021.43</v>
      </c>
      <c r="G352" s="41">
        <f>G338</f>
        <v>86134.23000000001</v>
      </c>
      <c r="H352" s="41">
        <f>H338</f>
        <v>21718.67</v>
      </c>
      <c r="I352" s="41">
        <f>I338</f>
        <v>154696.22999999998</v>
      </c>
      <c r="J352" s="41">
        <f>J338</f>
        <v>3194.4599999999996</v>
      </c>
      <c r="K352" s="47">
        <f>K338+K351</f>
        <v>48828.21</v>
      </c>
      <c r="L352" s="41">
        <f>L338+L351</f>
        <v>620593.2300000001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135818.45000000001</v>
      </c>
      <c r="I358" s="18">
        <v>9490.3799999999992</v>
      </c>
      <c r="J358" s="18">
        <v>4945.87</v>
      </c>
      <c r="K358" s="18"/>
      <c r="L358" s="13">
        <f>SUM(F358:K358)</f>
        <v>150254.70000000001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135818.45000000001</v>
      </c>
      <c r="I359" s="18">
        <v>9490.3799999999992</v>
      </c>
      <c r="J359" s="18">
        <v>4945.87</v>
      </c>
      <c r="K359" s="18"/>
      <c r="L359" s="19">
        <f>SUM(F359:K359)</f>
        <v>150254.70000000001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135818.46</v>
      </c>
      <c r="I360" s="18">
        <v>9490.3700000000008</v>
      </c>
      <c r="J360" s="18">
        <v>4945.8599999999997</v>
      </c>
      <c r="K360" s="18"/>
      <c r="L360" s="19">
        <f>SUM(F360:K360)</f>
        <v>150254.68999999997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407455.36</v>
      </c>
      <c r="I362" s="47">
        <f t="shared" si="22"/>
        <v>28471.129999999997</v>
      </c>
      <c r="J362" s="47">
        <f t="shared" si="22"/>
        <v>14837.599999999999</v>
      </c>
      <c r="K362" s="47">
        <f t="shared" si="22"/>
        <v>0</v>
      </c>
      <c r="L362" s="47">
        <f t="shared" si="22"/>
        <v>450764.08999999997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11774.42</v>
      </c>
      <c r="G367" s="18">
        <v>11837.18</v>
      </c>
      <c r="H367" s="18"/>
      <c r="I367" s="56">
        <f>SUM(F367:H367)</f>
        <v>23611.599999999999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4859.53/3</f>
        <v>1619.8433333333332</v>
      </c>
      <c r="G368" s="63">
        <v>1619.84</v>
      </c>
      <c r="H368" s="63">
        <f>4859.53-3239.68</f>
        <v>1619.85</v>
      </c>
      <c r="I368" s="56">
        <f>SUM(F368:H368)</f>
        <v>4859.5333333333328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13394.263333333332</v>
      </c>
      <c r="G369" s="47">
        <f>SUM(G367:G368)</f>
        <v>13457.02</v>
      </c>
      <c r="H369" s="47">
        <f>SUM(H367:H368)</f>
        <v>1619.85</v>
      </c>
      <c r="I369" s="47">
        <f>SUM(I367:I368)</f>
        <v>28471.133333333331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35000</v>
      </c>
      <c r="H396" s="18">
        <f>2924.27+294.07-843.91</f>
        <v>2374.4300000000003</v>
      </c>
      <c r="I396" s="18"/>
      <c r="J396" s="24" t="s">
        <v>289</v>
      </c>
      <c r="K396" s="24" t="s">
        <v>289</v>
      </c>
      <c r="L396" s="56">
        <f t="shared" si="26"/>
        <v>37374.43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f>2767.8+273.56-785.09+328.16-1.17-30.36</f>
        <v>2552.8999999999996</v>
      </c>
      <c r="I397" s="18"/>
      <c r="J397" s="24" t="s">
        <v>289</v>
      </c>
      <c r="K397" s="24" t="s">
        <v>289</v>
      </c>
      <c r="L397" s="56">
        <f t="shared" si="26"/>
        <v>52552.9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85000</v>
      </c>
      <c r="H401" s="47">
        <f>SUM(H395:H400)</f>
        <v>4927.33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89927.33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85000</v>
      </c>
      <c r="H408" s="47">
        <f>H393+H401+H407</f>
        <v>4927.33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89927.33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322097.81</v>
      </c>
      <c r="H440" s="18"/>
      <c r="I440" s="56">
        <f t="shared" si="33"/>
        <v>322097.81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322097.81</v>
      </c>
      <c r="H446" s="13">
        <f>SUM(H439:H445)</f>
        <v>0</v>
      </c>
      <c r="I446" s="13">
        <f>SUM(I439:I445)</f>
        <v>322097.81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232170.48+4927.33+85000</f>
        <v>322097.81</v>
      </c>
      <c r="H459" s="18"/>
      <c r="I459" s="56">
        <f t="shared" si="34"/>
        <v>322097.81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322097.81</v>
      </c>
      <c r="H460" s="83">
        <f>SUM(H454:H459)</f>
        <v>0</v>
      </c>
      <c r="I460" s="83">
        <f>SUM(I454:I459)</f>
        <v>322097.81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322097.81</v>
      </c>
      <c r="H461" s="42">
        <f>H452+H460</f>
        <v>0</v>
      </c>
      <c r="I461" s="42">
        <f>I452+I460</f>
        <v>322097.81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963081.21</v>
      </c>
      <c r="G465" s="18">
        <v>3355.69</v>
      </c>
      <c r="H465" s="18">
        <v>2744.74</v>
      </c>
      <c r="I465" s="18">
        <v>0</v>
      </c>
      <c r="J465" s="18">
        <v>232170.48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16798242.899999999</v>
      </c>
      <c r="G468" s="18">
        <f t="shared" ref="G468:J468" si="35">G193</f>
        <v>430530.62</v>
      </c>
      <c r="H468" s="18">
        <f t="shared" si="35"/>
        <v>432184.19999999995</v>
      </c>
      <c r="I468" s="18">
        <f t="shared" si="35"/>
        <v>0</v>
      </c>
      <c r="J468" s="18">
        <f t="shared" si="35"/>
        <v>89927.33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16798242.899999999</v>
      </c>
      <c r="G470" s="53">
        <f>SUM(G468:G469)</f>
        <v>430530.62</v>
      </c>
      <c r="H470" s="53">
        <f>SUM(H468:H469)</f>
        <v>432184.19999999995</v>
      </c>
      <c r="I470" s="53">
        <f>SUM(I468:I469)</f>
        <v>0</v>
      </c>
      <c r="J470" s="53">
        <f>SUM(J468:J469)</f>
        <v>89927.33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16455547.529999999</v>
      </c>
      <c r="G472" s="18">
        <f>L362</f>
        <v>450764.08999999997</v>
      </c>
      <c r="H472" s="18">
        <f>L352</f>
        <v>620593.2300000001</v>
      </c>
      <c r="I472" s="18">
        <v>0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16455547.529999999</v>
      </c>
      <c r="G474" s="53">
        <f>SUM(G472:G473)</f>
        <v>450764.08999999997</v>
      </c>
      <c r="H474" s="53">
        <f>SUM(H472:H473)</f>
        <v>620593.2300000001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1305776.58</v>
      </c>
      <c r="G476" s="53">
        <f>(G465+G470)- G474</f>
        <v>-16877.77999999997</v>
      </c>
      <c r="H476" s="53">
        <f>(H465+H470)- H474</f>
        <v>-185664.29000000015</v>
      </c>
      <c r="I476" s="53">
        <f>(I465+I470)- I474</f>
        <v>0</v>
      </c>
      <c r="J476" s="53">
        <f>(J465+J470)- J474</f>
        <v>322097.81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>
        <v>16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 t="s">
        <v>911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 t="s">
        <v>912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>
        <v>23623315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>
        <v>5.39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>
        <f>17700000+1480000</f>
        <v>19180000</v>
      </c>
      <c r="H495" s="18"/>
      <c r="I495" s="18"/>
      <c r="J495" s="18"/>
      <c r="K495" s="53">
        <f>SUM(F495:J495)</f>
        <v>19180000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>
        <v>0</v>
      </c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>
        <v>1480000</v>
      </c>
      <c r="H497" s="18"/>
      <c r="I497" s="18"/>
      <c r="J497" s="18"/>
      <c r="K497" s="53">
        <f t="shared" si="36"/>
        <v>1480000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>
        <v>17700000</v>
      </c>
      <c r="H498" s="204"/>
      <c r="I498" s="204"/>
      <c r="J498" s="204"/>
      <c r="K498" s="205">
        <f t="shared" si="36"/>
        <v>17700000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>
        <v>5724183</v>
      </c>
      <c r="H499" s="18"/>
      <c r="I499" s="18"/>
      <c r="J499" s="18"/>
      <c r="K499" s="53">
        <f t="shared" si="36"/>
        <v>5724183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23424183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23424183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>
        <v>1475000</v>
      </c>
      <c r="H501" s="204"/>
      <c r="I501" s="204"/>
      <c r="J501" s="204"/>
      <c r="K501" s="205">
        <f t="shared" si="36"/>
        <v>1475000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>
        <f>477015+437263.75</f>
        <v>914278.75</v>
      </c>
      <c r="H502" s="18"/>
      <c r="I502" s="18"/>
      <c r="J502" s="18"/>
      <c r="K502" s="53">
        <f t="shared" si="36"/>
        <v>914278.75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2389278.75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2389278.75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348977.83</v>
      </c>
      <c r="G521" s="18">
        <v>116638.04</v>
      </c>
      <c r="H521" s="18">
        <v>79802.460000000006</v>
      </c>
      <c r="I521" s="18">
        <v>1077.3599999999999</v>
      </c>
      <c r="J521" s="18">
        <v>2066.02</v>
      </c>
      <c r="K521" s="18"/>
      <c r="L521" s="88">
        <f>SUM(F521:K521)</f>
        <v>548561.71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204842.23999999999</v>
      </c>
      <c r="G522" s="18">
        <v>79958.94</v>
      </c>
      <c r="H522" s="18">
        <v>42075.68</v>
      </c>
      <c r="I522" s="18">
        <v>258</v>
      </c>
      <c r="J522" s="18">
        <v>474.41</v>
      </c>
      <c r="K522" s="18"/>
      <c r="L522" s="88">
        <f>SUM(F522:K522)</f>
        <v>327609.26999999996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253923.49</v>
      </c>
      <c r="G523" s="18">
        <v>110022.68</v>
      </c>
      <c r="H523" s="18">
        <v>210582.86</v>
      </c>
      <c r="I523" s="18">
        <v>1578.96</v>
      </c>
      <c r="J523" s="18">
        <v>2182.4899999999998</v>
      </c>
      <c r="K523" s="18"/>
      <c r="L523" s="88">
        <f>SUM(F523:K523)</f>
        <v>578290.48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807743.56</v>
      </c>
      <c r="G524" s="108">
        <f t="shared" ref="G524:L524" si="37">SUM(G521:G523)</f>
        <v>306619.65999999997</v>
      </c>
      <c r="H524" s="108">
        <f t="shared" si="37"/>
        <v>332461</v>
      </c>
      <c r="I524" s="108">
        <f t="shared" si="37"/>
        <v>2914.3199999999997</v>
      </c>
      <c r="J524" s="108">
        <f t="shared" si="37"/>
        <v>4722.92</v>
      </c>
      <c r="K524" s="108">
        <f t="shared" si="37"/>
        <v>0</v>
      </c>
      <c r="L524" s="89">
        <f t="shared" si="37"/>
        <v>1454461.46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87035.03</v>
      </c>
      <c r="G526" s="18">
        <v>37783.120000000003</v>
      </c>
      <c r="H526" s="18">
        <v>48972.52</v>
      </c>
      <c r="I526" s="18">
        <v>1044.4100000000001</v>
      </c>
      <c r="J526" s="18">
        <v>513.85</v>
      </c>
      <c r="K526" s="18">
        <v>416.64</v>
      </c>
      <c r="L526" s="88">
        <f>SUM(F526:K526)</f>
        <v>175765.57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33108.39</v>
      </c>
      <c r="G527" s="18">
        <v>18339.259999999998</v>
      </c>
      <c r="H527" s="18">
        <v>10738.02</v>
      </c>
      <c r="I527" s="18">
        <v>88.32</v>
      </c>
      <c r="J527" s="18"/>
      <c r="K527" s="18">
        <v>416.64</v>
      </c>
      <c r="L527" s="88">
        <f>SUM(F527:K527)</f>
        <v>62690.63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64019.53</v>
      </c>
      <c r="G528" s="18">
        <v>18339.099999999999</v>
      </c>
      <c r="H528" s="18">
        <v>32223.74</v>
      </c>
      <c r="I528" s="18">
        <v>99.72</v>
      </c>
      <c r="J528" s="18"/>
      <c r="K528" s="18">
        <f>1249.91-833.28</f>
        <v>416.63000000000011</v>
      </c>
      <c r="L528" s="88">
        <f>SUM(F528:K528)</f>
        <v>115098.72000000002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184162.95</v>
      </c>
      <c r="G529" s="89">
        <f t="shared" ref="G529:L529" si="38">SUM(G526:G528)</f>
        <v>74461.48000000001</v>
      </c>
      <c r="H529" s="89">
        <f t="shared" si="38"/>
        <v>91934.28</v>
      </c>
      <c r="I529" s="89">
        <f t="shared" si="38"/>
        <v>1232.45</v>
      </c>
      <c r="J529" s="89">
        <f t="shared" si="38"/>
        <v>513.85</v>
      </c>
      <c r="K529" s="89">
        <f t="shared" si="38"/>
        <v>1249.9100000000001</v>
      </c>
      <c r="L529" s="89">
        <f t="shared" si="38"/>
        <v>353554.92000000004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39022.26</v>
      </c>
      <c r="G531" s="18">
        <v>19569.2</v>
      </c>
      <c r="H531" s="18">
        <v>7210.78</v>
      </c>
      <c r="I531" s="18">
        <v>236.69</v>
      </c>
      <c r="J531" s="18"/>
      <c r="K531" s="18"/>
      <c r="L531" s="88">
        <f>SUM(F531:K531)</f>
        <v>66038.930000000008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39022.26</v>
      </c>
      <c r="G532" s="18">
        <v>19569.2</v>
      </c>
      <c r="H532" s="18">
        <v>7210.78</v>
      </c>
      <c r="I532" s="18">
        <v>236.69</v>
      </c>
      <c r="J532" s="18"/>
      <c r="K532" s="18"/>
      <c r="L532" s="88">
        <f>SUM(F532:K532)</f>
        <v>66038.930000000008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39022.25</v>
      </c>
      <c r="G533" s="18">
        <f>58707.61-39138.4</f>
        <v>19569.21</v>
      </c>
      <c r="H533" s="18">
        <v>7210.79</v>
      </c>
      <c r="I533" s="18">
        <f>710.06-473.38</f>
        <v>236.67999999999995</v>
      </c>
      <c r="J533" s="18"/>
      <c r="K533" s="18"/>
      <c r="L533" s="88">
        <f>SUM(F533:K533)</f>
        <v>66038.929999999993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117066.77</v>
      </c>
      <c r="G534" s="89">
        <f t="shared" ref="G534:L534" si="39">SUM(G531:G533)</f>
        <v>58707.61</v>
      </c>
      <c r="H534" s="89">
        <f t="shared" si="39"/>
        <v>21632.35</v>
      </c>
      <c r="I534" s="89">
        <f t="shared" si="39"/>
        <v>710.06</v>
      </c>
      <c r="J534" s="89">
        <f t="shared" si="39"/>
        <v>0</v>
      </c>
      <c r="K534" s="89">
        <f t="shared" si="39"/>
        <v>0</v>
      </c>
      <c r="L534" s="89">
        <f t="shared" si="39"/>
        <v>198116.79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70149.710000000006</v>
      </c>
      <c r="I541" s="18"/>
      <c r="J541" s="18"/>
      <c r="K541" s="18"/>
      <c r="L541" s="88">
        <f>SUM(F541:K541)</f>
        <v>70149.710000000006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30092.639999999999</v>
      </c>
      <c r="I542" s="18"/>
      <c r="J542" s="18"/>
      <c r="K542" s="18"/>
      <c r="L542" s="88">
        <f>SUM(F542:K542)</f>
        <v>30092.639999999999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93631.79</v>
      </c>
      <c r="I543" s="18"/>
      <c r="J543" s="18"/>
      <c r="K543" s="18"/>
      <c r="L543" s="88">
        <f>SUM(F543:K543)</f>
        <v>93631.79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193874.14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193874.14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1108973.28</v>
      </c>
      <c r="G545" s="89">
        <f t="shared" ref="G545:L545" si="42">G524+G529+G534+G539+G544</f>
        <v>439788.75</v>
      </c>
      <c r="H545" s="89">
        <f t="shared" si="42"/>
        <v>639901.77</v>
      </c>
      <c r="I545" s="89">
        <f t="shared" si="42"/>
        <v>4856.83</v>
      </c>
      <c r="J545" s="89">
        <f t="shared" si="42"/>
        <v>5236.7700000000004</v>
      </c>
      <c r="K545" s="89">
        <f t="shared" si="42"/>
        <v>1249.9100000000001</v>
      </c>
      <c r="L545" s="89">
        <f t="shared" si="42"/>
        <v>2200007.31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548561.71</v>
      </c>
      <c r="G549" s="87">
        <f>L526</f>
        <v>175765.57</v>
      </c>
      <c r="H549" s="87">
        <f>L531</f>
        <v>66038.930000000008</v>
      </c>
      <c r="I549" s="87">
        <f>L536</f>
        <v>0</v>
      </c>
      <c r="J549" s="87">
        <f>L541</f>
        <v>70149.710000000006</v>
      </c>
      <c r="K549" s="87">
        <f>SUM(F549:J549)</f>
        <v>860515.92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327609.26999999996</v>
      </c>
      <c r="G550" s="87">
        <f>L527</f>
        <v>62690.63</v>
      </c>
      <c r="H550" s="87">
        <f>L532</f>
        <v>66038.930000000008</v>
      </c>
      <c r="I550" s="87">
        <f>L537</f>
        <v>0</v>
      </c>
      <c r="J550" s="87">
        <f>L542</f>
        <v>30092.639999999999</v>
      </c>
      <c r="K550" s="87">
        <f>SUM(F550:J550)</f>
        <v>486431.47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578290.48</v>
      </c>
      <c r="G551" s="87">
        <f>L528</f>
        <v>115098.72000000002</v>
      </c>
      <c r="H551" s="87">
        <f>L533</f>
        <v>66038.929999999993</v>
      </c>
      <c r="I551" s="87">
        <f>L538</f>
        <v>0</v>
      </c>
      <c r="J551" s="87">
        <f>L543</f>
        <v>93631.79</v>
      </c>
      <c r="K551" s="87">
        <f>SUM(F551:J551)</f>
        <v>853059.91999999993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1454461.46</v>
      </c>
      <c r="G552" s="89">
        <f t="shared" si="43"/>
        <v>353554.92000000004</v>
      </c>
      <c r="H552" s="89">
        <f t="shared" si="43"/>
        <v>198116.79</v>
      </c>
      <c r="I552" s="89">
        <f t="shared" si="43"/>
        <v>0</v>
      </c>
      <c r="J552" s="89">
        <f t="shared" si="43"/>
        <v>193874.14</v>
      </c>
      <c r="K552" s="89">
        <f t="shared" si="43"/>
        <v>2200007.31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43574.6</v>
      </c>
      <c r="I579" s="87">
        <f t="shared" si="48"/>
        <v>43574.6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78602.460000000006</v>
      </c>
      <c r="G582" s="18">
        <v>42008.4</v>
      </c>
      <c r="H582" s="18">
        <v>166907.82</v>
      </c>
      <c r="I582" s="87">
        <f t="shared" si="48"/>
        <v>287518.68000000005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4338.4799999999996</v>
      </c>
      <c r="I584" s="87">
        <f t="shared" si="48"/>
        <v>4338.4799999999996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152833.29999999999</v>
      </c>
      <c r="I591" s="18">
        <v>151600.79999999999</v>
      </c>
      <c r="J591" s="18">
        <v>152833.4</v>
      </c>
      <c r="K591" s="104">
        <f t="shared" ref="K591:K597" si="49">SUM(H591:J591)</f>
        <v>457267.5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70149.710000000006</v>
      </c>
      <c r="I592" s="18">
        <v>30092.639999999999</v>
      </c>
      <c r="J592" s="18">
        <v>93631.79</v>
      </c>
      <c r="K592" s="104">
        <f t="shared" si="49"/>
        <v>193874.14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20208.060000000001</v>
      </c>
      <c r="K593" s="104">
        <f t="shared" si="49"/>
        <v>20208.060000000001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11518</v>
      </c>
      <c r="J594" s="18">
        <v>33219.54</v>
      </c>
      <c r="K594" s="104">
        <f t="shared" si="49"/>
        <v>44737.54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1656.85</v>
      </c>
      <c r="J595" s="18">
        <v>2212.1999999999998</v>
      </c>
      <c r="K595" s="104">
        <f t="shared" si="49"/>
        <v>3869.0499999999997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11818</v>
      </c>
      <c r="I597" s="18">
        <v>7599.15</v>
      </c>
      <c r="J597" s="18">
        <v>953.7</v>
      </c>
      <c r="K597" s="104">
        <f t="shared" si="49"/>
        <v>20370.850000000002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234801.01</v>
      </c>
      <c r="I598" s="108">
        <f>SUM(I591:I597)</f>
        <v>202467.44</v>
      </c>
      <c r="J598" s="108">
        <f>SUM(J591:J597)</f>
        <v>303058.69</v>
      </c>
      <c r="K598" s="108">
        <f>SUM(K591:K597)</f>
        <v>740327.14000000013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25511.72+974.17</f>
        <v>26485.89</v>
      </c>
      <c r="I604" s="18">
        <f>65636.92+1246.13</f>
        <v>66883.05</v>
      </c>
      <c r="J604" s="18">
        <f>59414.82+974.16</f>
        <v>60388.98</v>
      </c>
      <c r="K604" s="104">
        <f>SUM(H604:J604)</f>
        <v>153757.92000000001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26485.89</v>
      </c>
      <c r="I605" s="108">
        <f>SUM(I602:I604)</f>
        <v>66883.05</v>
      </c>
      <c r="J605" s="108">
        <f>SUM(J602:J604)</f>
        <v>60388.98</v>
      </c>
      <c r="K605" s="108">
        <f>SUM(K602:K604)</f>
        <v>153757.92000000001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24613.93</v>
      </c>
      <c r="G611" s="18">
        <v>4781.71</v>
      </c>
      <c r="H611" s="18"/>
      <c r="I611" s="18">
        <v>4546.05</v>
      </c>
      <c r="J611" s="18"/>
      <c r="K611" s="18"/>
      <c r="L611" s="88">
        <f>SUM(F611:K611)</f>
        <v>33941.69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5773.08</v>
      </c>
      <c r="G612" s="18">
        <v>1047.5</v>
      </c>
      <c r="H612" s="18"/>
      <c r="I612" s="18"/>
      <c r="J612" s="18"/>
      <c r="K612" s="18"/>
      <c r="L612" s="88">
        <f>SUM(F612:K612)</f>
        <v>6820.58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4652.72</v>
      </c>
      <c r="G613" s="18">
        <v>1091.06</v>
      </c>
      <c r="H613" s="18"/>
      <c r="I613" s="18"/>
      <c r="J613" s="18"/>
      <c r="K613" s="18"/>
      <c r="L613" s="88">
        <f>SUM(F613:K613)</f>
        <v>5743.7800000000007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35039.730000000003</v>
      </c>
      <c r="G614" s="108">
        <f t="shared" si="50"/>
        <v>6920.27</v>
      </c>
      <c r="H614" s="108">
        <f t="shared" si="50"/>
        <v>0</v>
      </c>
      <c r="I614" s="108">
        <f t="shared" si="50"/>
        <v>4546.05</v>
      </c>
      <c r="J614" s="108">
        <f t="shared" si="50"/>
        <v>0</v>
      </c>
      <c r="K614" s="108">
        <f t="shared" si="50"/>
        <v>0</v>
      </c>
      <c r="L614" s="89">
        <f t="shared" si="50"/>
        <v>46506.05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1266569.67</v>
      </c>
      <c r="H617" s="109">
        <f>SUM(F52)</f>
        <v>1266569.6700000013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10090.9</v>
      </c>
      <c r="H618" s="109">
        <f>SUM(G52)</f>
        <v>10090.900000000001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322097.81</v>
      </c>
      <c r="H621" s="109">
        <f>SUM(J52)</f>
        <v>322097.81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1305776.5800000012</v>
      </c>
      <c r="H622" s="109">
        <f>F476</f>
        <v>1305776.58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-16877.78</v>
      </c>
      <c r="H623" s="109">
        <f>G476</f>
        <v>-16877.77999999997</v>
      </c>
      <c r="I623" s="121" t="s">
        <v>102</v>
      </c>
      <c r="J623" s="109">
        <f t="shared" si="51"/>
        <v>-2.9103830456733704E-11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-185664.28999999998</v>
      </c>
      <c r="H624" s="109">
        <f>H476</f>
        <v>-185664.29000000015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322097.81</v>
      </c>
      <c r="H626" s="109">
        <f>J476</f>
        <v>322097.81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16798242.899999999</v>
      </c>
      <c r="H627" s="104">
        <f>SUM(F468)</f>
        <v>16798242.899999999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430530.62</v>
      </c>
      <c r="H628" s="104">
        <f>SUM(G468)</f>
        <v>430530.62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432184.19999999995</v>
      </c>
      <c r="H629" s="104">
        <f>SUM(H468)</f>
        <v>432184.19999999995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89927.33</v>
      </c>
      <c r="H631" s="104">
        <f>SUM(J468)</f>
        <v>89927.33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16455547.529999999</v>
      </c>
      <c r="H632" s="104">
        <f>SUM(F472)</f>
        <v>16455547.529999999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620593.2300000001</v>
      </c>
      <c r="H633" s="104">
        <f>SUM(H472)</f>
        <v>620593.2300000001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28471.129999999997</v>
      </c>
      <c r="H634" s="104">
        <f>I369</f>
        <v>28471.133333333331</v>
      </c>
      <c r="I634" s="143" t="s">
        <v>248</v>
      </c>
      <c r="J634" s="109">
        <f>G634-H634</f>
        <v>-3.3333333340124227E-3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450764.08999999997</v>
      </c>
      <c r="H635" s="104">
        <f>SUM(G472)</f>
        <v>450764.08999999997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89927.33</v>
      </c>
      <c r="H637" s="164">
        <f>SUM(J468)</f>
        <v>89927.33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322097.81</v>
      </c>
      <c r="H640" s="104">
        <f>SUM(G461)</f>
        <v>322097.81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322097.81</v>
      </c>
      <c r="H642" s="104">
        <f>SUM(I461)</f>
        <v>322097.81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4927.33</v>
      </c>
      <c r="H644" s="104">
        <f>H408</f>
        <v>4927.33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85000</v>
      </c>
      <c r="H645" s="104">
        <f>G408</f>
        <v>85000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89927.33</v>
      </c>
      <c r="H646" s="104">
        <f>L408</f>
        <v>89927.33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740327.14000000013</v>
      </c>
      <c r="H647" s="104">
        <f>L208+L226+L244</f>
        <v>740327.14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153757.92000000001</v>
      </c>
      <c r="H648" s="104">
        <f>(J257+J338)-(J255+J336)</f>
        <v>153757.92000000001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234801.01</v>
      </c>
      <c r="H649" s="104">
        <f>H598</f>
        <v>234801.01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202467.44</v>
      </c>
      <c r="H650" s="104">
        <f>I598</f>
        <v>202467.44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303058.69</v>
      </c>
      <c r="H651" s="104">
        <f>J598</f>
        <v>303058.69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85000</v>
      </c>
      <c r="H655" s="104">
        <f>K266+K347</f>
        <v>85000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-3.3333301544189453E-3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4751001.95</v>
      </c>
      <c r="G660" s="19">
        <f>(L229+L309+L359)</f>
        <v>4345455.75</v>
      </c>
      <c r="H660" s="19">
        <f>(L247+L328+L360)</f>
        <v>5827769.5499999998</v>
      </c>
      <c r="I660" s="19">
        <f>SUM(F660:H660)</f>
        <v>14924227.25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65491.274786227994</v>
      </c>
      <c r="G661" s="19">
        <f>(L359/IF(SUM(L358:L360)=0,1,SUM(L358:L360))*(SUM(G97:G110)))</f>
        <v>65491.274786227994</v>
      </c>
      <c r="H661" s="19">
        <f>(L360/IF(SUM(L358:L360)=0,1,SUM(L358:L360))*(SUM(G97:G110)))</f>
        <v>65491.270427544034</v>
      </c>
      <c r="I661" s="19">
        <f>SUM(F661:H661)</f>
        <v>196473.82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234801.01</v>
      </c>
      <c r="G662" s="19">
        <f>(L226+L306)-(J226+J306)</f>
        <v>202467.44</v>
      </c>
      <c r="H662" s="19">
        <f>(L244+L325)-(J244+J325)</f>
        <v>303058.69</v>
      </c>
      <c r="I662" s="19">
        <f>SUM(F662:H662)</f>
        <v>740327.14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139030.04</v>
      </c>
      <c r="G663" s="199">
        <f>SUM(G575:G587)+SUM(I602:I604)+L612</f>
        <v>115712.03000000001</v>
      </c>
      <c r="H663" s="199">
        <f>SUM(H575:H587)+SUM(J602:J604)+L613</f>
        <v>280953.66000000003</v>
      </c>
      <c r="I663" s="19">
        <f>SUM(F663:H663)</f>
        <v>535695.73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4311679.6252137721</v>
      </c>
      <c r="G664" s="19">
        <f>G660-SUM(G661:G663)</f>
        <v>3961785.0052137719</v>
      </c>
      <c r="H664" s="19">
        <f>H660-SUM(H661:H663)</f>
        <v>5178265.9295724556</v>
      </c>
      <c r="I664" s="19">
        <f>I660-SUM(I661:I663)</f>
        <v>13451730.560000001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375.3</v>
      </c>
      <c r="G665" s="248">
        <v>351.71</v>
      </c>
      <c r="H665" s="248">
        <v>328.55</v>
      </c>
      <c r="I665" s="19">
        <f>SUM(F665:H665)</f>
        <v>1055.56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11488.62</v>
      </c>
      <c r="G667" s="19">
        <f>ROUND(G664/G665,2)</f>
        <v>11264.35</v>
      </c>
      <c r="H667" s="19">
        <f>ROUND(H664/H665,2)</f>
        <v>15760.97</v>
      </c>
      <c r="I667" s="19">
        <f>ROUND(I664/I665,2)</f>
        <v>12743.69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6.33</v>
      </c>
      <c r="I670" s="19">
        <f>SUM(F670:H670)</f>
        <v>6.33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11488.62</v>
      </c>
      <c r="G672" s="19">
        <f>ROUND((G664+G669)/(G665+G670),2)</f>
        <v>11264.35</v>
      </c>
      <c r="H672" s="19">
        <f>ROUND((H664+H669)/(H665+H670),2)</f>
        <v>15463.05</v>
      </c>
      <c r="I672" s="19">
        <f>ROUND((I664+I669)/(I665+I670),2)</f>
        <v>12667.73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D37" sqref="D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MASCENIC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4179889.98</v>
      </c>
      <c r="C9" s="229">
        <f>'DOE25'!G197+'DOE25'!G215+'DOE25'!G233+'DOE25'!G276+'DOE25'!G295+'DOE25'!G314</f>
        <v>1969495.2000000002</v>
      </c>
    </row>
    <row r="10" spans="1:3" x14ac:dyDescent="0.2">
      <c r="A10" t="s">
        <v>779</v>
      </c>
      <c r="B10" s="240">
        <f>3803937.87+143000.51</f>
        <v>3946938.38</v>
      </c>
      <c r="C10" s="240">
        <f>51284.75+1877886.44+209.38</f>
        <v>1929380.5699999998</v>
      </c>
    </row>
    <row r="11" spans="1:3" x14ac:dyDescent="0.2">
      <c r="A11" t="s">
        <v>780</v>
      </c>
      <c r="B11" s="240">
        <f>91231.97+960</f>
        <v>92191.97</v>
      </c>
      <c r="C11" s="240">
        <v>25559.87</v>
      </c>
    </row>
    <row r="12" spans="1:3" x14ac:dyDescent="0.2">
      <c r="A12" t="s">
        <v>781</v>
      </c>
      <c r="B12" s="240">
        <v>140759.63</v>
      </c>
      <c r="C12" s="240">
        <v>14554.76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4179889.98</v>
      </c>
      <c r="C13" s="231">
        <f>SUM(C10:C12)</f>
        <v>1969495.2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807749.56</v>
      </c>
      <c r="C18" s="229">
        <f>'DOE25'!G198+'DOE25'!G216+'DOE25'!G234+'DOE25'!G277+'DOE25'!G296+'DOE25'!G315</f>
        <v>306619.66000000003</v>
      </c>
    </row>
    <row r="19" spans="1:3" x14ac:dyDescent="0.2">
      <c r="A19" t="s">
        <v>779</v>
      </c>
      <c r="B19" s="240">
        <f>310041+97807.79-20705.68</f>
        <v>387143.11</v>
      </c>
      <c r="C19" s="240">
        <f>155935.93+21469.34-6288.32</f>
        <v>171116.94999999998</v>
      </c>
    </row>
    <row r="20" spans="1:3" x14ac:dyDescent="0.2">
      <c r="A20" t="s">
        <v>780</v>
      </c>
      <c r="B20" s="240">
        <v>385095.93</v>
      </c>
      <c r="C20" s="240">
        <v>123113.36</v>
      </c>
    </row>
    <row r="21" spans="1:3" x14ac:dyDescent="0.2">
      <c r="A21" t="s">
        <v>781</v>
      </c>
      <c r="B21" s="240">
        <v>35510.519999999997</v>
      </c>
      <c r="C21" s="240">
        <v>12389.35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807749.56</v>
      </c>
      <c r="C22" s="231">
        <f>SUM(C19:C21)</f>
        <v>306619.65999999997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98645.43</v>
      </c>
      <c r="C27" s="234">
        <f>'DOE25'!G199+'DOE25'!G217+'DOE25'!G235+'DOE25'!G278+'DOE25'!G297+'DOE25'!G316</f>
        <v>35805.800000000003</v>
      </c>
    </row>
    <row r="28" spans="1:3" x14ac:dyDescent="0.2">
      <c r="A28" t="s">
        <v>779</v>
      </c>
      <c r="B28" s="240">
        <v>98645.43</v>
      </c>
      <c r="C28" s="240">
        <v>35805.800000000003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98645.43</v>
      </c>
      <c r="C31" s="231">
        <f>SUM(C28:C30)</f>
        <v>35805.800000000003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109570.61</v>
      </c>
      <c r="C36" s="235">
        <f>'DOE25'!G200+'DOE25'!G218+'DOE25'!G236+'DOE25'!G279+'DOE25'!G298+'DOE25'!G317</f>
        <v>15702.91</v>
      </c>
    </row>
    <row r="37" spans="1:3" x14ac:dyDescent="0.2">
      <c r="A37" t="s">
        <v>779</v>
      </c>
      <c r="B37" s="240">
        <v>109570.61</v>
      </c>
      <c r="C37" s="240">
        <v>15702.91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109570.61</v>
      </c>
      <c r="C40" s="231">
        <f>SUM(C37:C39)</f>
        <v>15702.91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opLeftCell="B1" workbookViewId="0">
      <pane ySplit="4" topLeftCell="A5" activePane="bottomLeft" state="frozen"/>
      <selection activeCell="F46" sqref="F46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MASCENIC REGIONAL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7978130.0999999996</v>
      </c>
      <c r="D5" s="20">
        <f>SUM('DOE25'!L197:L200)+SUM('DOE25'!L215:L218)+SUM('DOE25'!L233:L236)-F5-G5</f>
        <v>7860012.2699999996</v>
      </c>
      <c r="E5" s="243"/>
      <c r="F5" s="255">
        <f>SUM('DOE25'!J197:J200)+SUM('DOE25'!J215:J218)+SUM('DOE25'!J233:J236)</f>
        <v>102054.30000000002</v>
      </c>
      <c r="G5" s="53">
        <f>SUM('DOE25'!K197:K200)+SUM('DOE25'!K215:K218)+SUM('DOE25'!K233:K236)</f>
        <v>16063.529999999999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1090752.5499999998</v>
      </c>
      <c r="D6" s="20">
        <f>'DOE25'!L202+'DOE25'!L220+'DOE25'!L238-F6-G6</f>
        <v>1088756.1999999997</v>
      </c>
      <c r="E6" s="243"/>
      <c r="F6" s="255">
        <f>'DOE25'!J202+'DOE25'!J220+'DOE25'!J238</f>
        <v>713.85</v>
      </c>
      <c r="G6" s="53">
        <f>'DOE25'!K202+'DOE25'!K220+'DOE25'!K238</f>
        <v>1282.5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279582.07</v>
      </c>
      <c r="D7" s="20">
        <f>'DOE25'!L203+'DOE25'!L221+'DOE25'!L239-F7-G7</f>
        <v>277834.34000000003</v>
      </c>
      <c r="E7" s="243"/>
      <c r="F7" s="255">
        <f>'DOE25'!J203+'DOE25'!J221+'DOE25'!J239</f>
        <v>1697.73</v>
      </c>
      <c r="G7" s="53">
        <f>'DOE25'!K203+'DOE25'!K221+'DOE25'!K239</f>
        <v>50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294348.11999999994</v>
      </c>
      <c r="D8" s="243"/>
      <c r="E8" s="20">
        <f>'DOE25'!L204+'DOE25'!L222+'DOE25'!L240-F8-G8-D9-D11</f>
        <v>275016.71999999991</v>
      </c>
      <c r="F8" s="255">
        <f>'DOE25'!J204+'DOE25'!J222+'DOE25'!J240</f>
        <v>2056</v>
      </c>
      <c r="G8" s="53">
        <f>'DOE25'!K204+'DOE25'!K222+'DOE25'!K240</f>
        <v>17275.399999999998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144339.09</v>
      </c>
      <c r="D9" s="244">
        <v>144339.09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21888.53</v>
      </c>
      <c r="D10" s="243"/>
      <c r="E10" s="244">
        <f>7241.92+7241.93+7404.68</f>
        <v>21888.53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237677.57</v>
      </c>
      <c r="D11" s="244">
        <v>237677.57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1106848.83</v>
      </c>
      <c r="D12" s="20">
        <f>'DOE25'!L205+'DOE25'!L223+'DOE25'!L241-F12-G12</f>
        <v>1081652.6300000001</v>
      </c>
      <c r="E12" s="243"/>
      <c r="F12" s="255">
        <f>'DOE25'!J205+'DOE25'!J223+'DOE25'!J241</f>
        <v>906.99</v>
      </c>
      <c r="G12" s="53">
        <f>'DOE25'!K205+'DOE25'!K223+'DOE25'!K241</f>
        <v>24289.21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340151.35</v>
      </c>
      <c r="D13" s="243"/>
      <c r="E13" s="20">
        <f>'DOE25'!L206+'DOE25'!L224+'DOE25'!L242-F13-G13</f>
        <v>337766.75</v>
      </c>
      <c r="F13" s="255">
        <f>'DOE25'!J206+'DOE25'!J224+'DOE25'!J242</f>
        <v>0</v>
      </c>
      <c r="G13" s="53">
        <f>'DOE25'!K206+'DOE25'!K224+'DOE25'!K242</f>
        <v>2384.6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1429216.72</v>
      </c>
      <c r="D14" s="20">
        <f>'DOE25'!L207+'DOE25'!L225+'DOE25'!L243-F14-G14</f>
        <v>1390804.98</v>
      </c>
      <c r="E14" s="243"/>
      <c r="F14" s="255">
        <f>'DOE25'!J207+'DOE25'!J225+'DOE25'!J243</f>
        <v>38411.740000000005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740327.14</v>
      </c>
      <c r="D15" s="20">
        <f>'DOE25'!L208+'DOE25'!L226+'DOE25'!L244-F15-G15</f>
        <v>740327.14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255257.99</v>
      </c>
      <c r="D16" s="243"/>
      <c r="E16" s="20">
        <f>'DOE25'!L209+'DOE25'!L227+'DOE25'!L245-F16-G16</f>
        <v>248978.81999999998</v>
      </c>
      <c r="F16" s="255">
        <f>'DOE25'!J209+'DOE25'!J227+'DOE25'!J245</f>
        <v>4722.8500000000004</v>
      </c>
      <c r="G16" s="53">
        <f>'DOE25'!K209+'DOE25'!K227+'DOE25'!K245</f>
        <v>1556.32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2473916</v>
      </c>
      <c r="D25" s="243"/>
      <c r="E25" s="243"/>
      <c r="F25" s="258"/>
      <c r="G25" s="256"/>
      <c r="H25" s="257">
        <f>'DOE25'!L260+'DOE25'!L261+'DOE25'!L341+'DOE25'!L342</f>
        <v>2473916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427152.49</v>
      </c>
      <c r="D29" s="20">
        <f>'DOE25'!L358+'DOE25'!L359+'DOE25'!L360-'DOE25'!I367-F29-G29</f>
        <v>412314.89</v>
      </c>
      <c r="E29" s="243"/>
      <c r="F29" s="255">
        <f>'DOE25'!J358+'DOE25'!J359+'DOE25'!J360</f>
        <v>14837.599999999999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576831.63000000012</v>
      </c>
      <c r="D31" s="20">
        <f>'DOE25'!L290+'DOE25'!L309+'DOE25'!L328+'DOE25'!L333+'DOE25'!L334+'DOE25'!L335-F31-G31</f>
        <v>568570.56000000017</v>
      </c>
      <c r="E31" s="243"/>
      <c r="F31" s="255">
        <f>'DOE25'!J290+'DOE25'!J309+'DOE25'!J328+'DOE25'!J333+'DOE25'!J334+'DOE25'!J335</f>
        <v>3194.4599999999996</v>
      </c>
      <c r="G31" s="53">
        <f>'DOE25'!K290+'DOE25'!K309+'DOE25'!K328+'DOE25'!K333+'DOE25'!K334+'DOE25'!K335</f>
        <v>5066.6099999999997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13802289.670000002</v>
      </c>
      <c r="E33" s="246">
        <f>SUM(E5:E31)</f>
        <v>883650.81999999983</v>
      </c>
      <c r="F33" s="246">
        <f>SUM(F5:F31)</f>
        <v>168595.52000000005</v>
      </c>
      <c r="G33" s="246">
        <f>SUM(G5:G31)</f>
        <v>67968.169999999984</v>
      </c>
      <c r="H33" s="246">
        <f>SUM(H5:H31)</f>
        <v>2473916</v>
      </c>
    </row>
    <row r="35" spans="2:8" ht="12" thickBot="1" x14ac:dyDescent="0.25">
      <c r="B35" s="253" t="s">
        <v>847</v>
      </c>
      <c r="D35" s="254">
        <f>E33</f>
        <v>883650.81999999983</v>
      </c>
      <c r="E35" s="249"/>
    </row>
    <row r="36" spans="2:8" ht="12" thickTop="1" x14ac:dyDescent="0.2">
      <c r="B36" t="s">
        <v>815</v>
      </c>
      <c r="D36" s="20">
        <f>D33</f>
        <v>13802289.670000002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workbookViewId="0">
      <pane ySplit="2" topLeftCell="A106" activePane="bottomLeft" state="frozen"/>
      <selection activeCell="F46" sqref="F46"/>
      <selection pane="bottomLeft" activeCell="C76" sqref="C7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MASCENIC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1219294.74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1357.93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322097.81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34766.400000000001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 t="str">
        <f>'DOE25'!I13</f>
        <v xml:space="preserve"> 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11150.6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10090.9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1266569.67</v>
      </c>
      <c r="D18" s="41">
        <f>SUM(D8:D17)</f>
        <v>10090.9</v>
      </c>
      <c r="E18" s="41">
        <f>SUM(E8:E17)</f>
        <v>0</v>
      </c>
      <c r="F18" s="41">
        <f>SUM(F8:F17)</f>
        <v>0</v>
      </c>
      <c r="G18" s="41">
        <f>SUM(G8:G17)</f>
        <v>322097.81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-201990.65999999989</v>
      </c>
      <c r="D21" s="95">
        <f>'DOE25'!G22</f>
        <v>22658.77</v>
      </c>
      <c r="E21" s="95">
        <f>'DOE25'!H22</f>
        <v>179331.89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111898.59</v>
      </c>
      <c r="D23" s="95">
        <f>'DOE25'!G24</f>
        <v>218.12</v>
      </c>
      <c r="E23" s="95">
        <f>'DOE25'!H24</f>
        <v>4426.5300000000007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41647.49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4091.79</v>
      </c>
      <c r="E29" s="95">
        <f>'DOE25'!H30</f>
        <v>1905.87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9237.67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-39206.909999999894</v>
      </c>
      <c r="D31" s="41">
        <f>SUM(D21:D30)</f>
        <v>26968.68</v>
      </c>
      <c r="E31" s="41">
        <f>SUM(E21:E30)</f>
        <v>185664.29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8811.44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220785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322097.81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83717.78</v>
      </c>
      <c r="D48" s="95">
        <f>'DOE25'!G49</f>
        <v>-25689.22</v>
      </c>
      <c r="E48" s="95">
        <f>'DOE25'!H49</f>
        <v>-185664.28999999998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1001273.8000000012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1305776.5800000012</v>
      </c>
      <c r="D50" s="41">
        <f>SUM(D34:D49)</f>
        <v>-16877.78</v>
      </c>
      <c r="E50" s="41">
        <f>SUM(E34:E49)</f>
        <v>-185664.28999999998</v>
      </c>
      <c r="F50" s="41">
        <f>SUM(F34:F49)</f>
        <v>0</v>
      </c>
      <c r="G50" s="41">
        <f>SUM(G34:G49)</f>
        <v>322097.81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1266569.6700000013</v>
      </c>
      <c r="D51" s="41">
        <f>D50+D31</f>
        <v>10090.900000000001</v>
      </c>
      <c r="E51" s="41">
        <f>E50+E31</f>
        <v>0</v>
      </c>
      <c r="F51" s="41">
        <f>F50+F31</f>
        <v>0</v>
      </c>
      <c r="G51" s="41">
        <f>G50+G31</f>
        <v>322097.81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7755845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41176.86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135.06</v>
      </c>
      <c r="D59" s="95">
        <f>'DOE25'!G96</f>
        <v>0</v>
      </c>
      <c r="E59" s="95">
        <f>'DOE25'!H96</f>
        <v>0</v>
      </c>
      <c r="F59" s="95">
        <f>'DOE25'!J96</f>
        <v>4927.33</v>
      </c>
      <c r="G59" s="95" t="e">
        <f>'DOE25'!#REF!</f>
        <v>#REF!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196473.82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182670.32</v>
      </c>
      <c r="D61" s="95">
        <f>SUM('DOE25'!G98:G110)</f>
        <v>0</v>
      </c>
      <c r="E61" s="95">
        <f>SUM('DOE25'!H98:H110)</f>
        <v>3072.48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223982.24</v>
      </c>
      <c r="D62" s="130">
        <f>SUM(D57:D61)</f>
        <v>196473.82</v>
      </c>
      <c r="E62" s="130">
        <f>SUM(E57:E61)</f>
        <v>3072.48</v>
      </c>
      <c r="F62" s="130">
        <f>SUM(F57:F61)</f>
        <v>4927.33</v>
      </c>
      <c r="G62" s="130" t="e">
        <f>SUM(G57:G61)</f>
        <v>#REF!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7979827.2400000002</v>
      </c>
      <c r="D63" s="22">
        <f>D56+D62</f>
        <v>196473.82</v>
      </c>
      <c r="E63" s="22">
        <f>E56+E62</f>
        <v>3072.48</v>
      </c>
      <c r="F63" s="22">
        <f>F56+F62</f>
        <v>4927.33</v>
      </c>
      <c r="G63" s="22" t="e">
        <f>G56+G62</f>
        <v>#REF!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5621487.5199999996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1075586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6697073.5199999996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810885.38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131109.57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52183.76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5548.85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994178.71</v>
      </c>
      <c r="D78" s="130">
        <f>SUM(D72:D77)</f>
        <v>5548.85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7691252.2299999995</v>
      </c>
      <c r="D81" s="130">
        <f>SUM(D79:D80)+D78+D70</f>
        <v>5548.85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146062.49</v>
      </c>
      <c r="D88" s="95">
        <f>SUM('DOE25'!G153:G161)</f>
        <v>228507.94999999998</v>
      </c>
      <c r="E88" s="95">
        <f>SUM('DOE25'!H153:H161)</f>
        <v>429111.72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146062.49</v>
      </c>
      <c r="D91" s="131">
        <f>SUM(D85:D90)</f>
        <v>228507.94999999998</v>
      </c>
      <c r="E91" s="131">
        <f>SUM(E85:E90)</f>
        <v>429111.72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921877.02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'DOE25'!J179</f>
        <v>85000</v>
      </c>
      <c r="G96" s="95" t="e">
        <f>'DOE25'!#REF!</f>
        <v>#REF!</v>
      </c>
    </row>
    <row r="97" spans="1:7" x14ac:dyDescent="0.2">
      <c r="A97" t="s">
        <v>758</v>
      </c>
      <c r="B97" s="32" t="s">
        <v>188</v>
      </c>
      <c r="C97" s="95">
        <f>SUM('DOE25'!F180:F181)</f>
        <v>59223.92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981100.94000000006</v>
      </c>
      <c r="D103" s="86">
        <f>SUM(D93:D102)</f>
        <v>0</v>
      </c>
      <c r="E103" s="86">
        <f>SUM(E93:E102)</f>
        <v>0</v>
      </c>
      <c r="F103" s="86">
        <f>SUM(F93:F102)</f>
        <v>85000</v>
      </c>
      <c r="G103" s="86" t="e">
        <f>SUM(G93:G102)</f>
        <v>#REF!</v>
      </c>
    </row>
    <row r="104" spans="1:7" ht="12.75" thickTop="1" thickBot="1" x14ac:dyDescent="0.25">
      <c r="A104" s="33" t="s">
        <v>765</v>
      </c>
      <c r="C104" s="86">
        <f>C63+C81+C91+C103</f>
        <v>16798242.899999999</v>
      </c>
      <c r="D104" s="86">
        <f>D63+D81+D91+D103</f>
        <v>430530.62</v>
      </c>
      <c r="E104" s="86">
        <f>E63+E81+E91+E103</f>
        <v>432184.19999999995</v>
      </c>
      <c r="F104" s="86">
        <f>F63+F81+F91+F103</f>
        <v>89927.33</v>
      </c>
      <c r="G104" s="86" t="e">
        <f>G63+G81+G103</f>
        <v>#REF!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6313706.7799999993</v>
      </c>
      <c r="D109" s="24" t="s">
        <v>289</v>
      </c>
      <c r="E109" s="95">
        <f>('DOE25'!L276)+('DOE25'!L295)+('DOE25'!L314)</f>
        <v>281852.44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1333984.33</v>
      </c>
      <c r="D110" s="24" t="s">
        <v>289</v>
      </c>
      <c r="E110" s="95">
        <f>('DOE25'!L277)+('DOE25'!L296)+('DOE25'!L315)</f>
        <v>191956.86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149474.97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180964.02</v>
      </c>
      <c r="D112" s="24" t="s">
        <v>289</v>
      </c>
      <c r="E112" s="95">
        <f>+('DOE25'!L279)+('DOE25'!L298)+('DOE25'!L317)</f>
        <v>4752.8999999999996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7978130.0999999987</v>
      </c>
      <c r="D115" s="86">
        <f>SUM(D109:D114)</f>
        <v>0</v>
      </c>
      <c r="E115" s="86">
        <f>SUM(E109:E114)</f>
        <v>478562.2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1090752.5499999998</v>
      </c>
      <c r="D118" s="24" t="s">
        <v>289</v>
      </c>
      <c r="E118" s="95">
        <f>+('DOE25'!L281)+('DOE25'!L300)+('DOE25'!L319)</f>
        <v>3800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279582.07</v>
      </c>
      <c r="D119" s="24" t="s">
        <v>289</v>
      </c>
      <c r="E119" s="95">
        <f>+('DOE25'!L282)+('DOE25'!L301)+('DOE25'!L320)</f>
        <v>94148.41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676364.77999999991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1106848.83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340151.35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1429216.72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740327.14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255257.99</v>
      </c>
      <c r="D125" s="24" t="s">
        <v>289</v>
      </c>
      <c r="E125" s="95">
        <f>+('DOE25'!L288)+('DOE25'!L307)+('DOE25'!L326)</f>
        <v>321.02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450764.08999999997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5918501.4299999997</v>
      </c>
      <c r="D128" s="86">
        <f>SUM(D118:D127)</f>
        <v>450764.08999999997</v>
      </c>
      <c r="E128" s="86">
        <f>SUM(E118:E127)</f>
        <v>98269.430000000008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1480000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993916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43761.599999999999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89927.33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-4927.3300000000017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2558916</v>
      </c>
      <c r="D144" s="141">
        <f>SUM(D130:D143)</f>
        <v>0</v>
      </c>
      <c r="E144" s="141">
        <f>SUM(E130:E143)</f>
        <v>43761.599999999999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16455547.529999997</v>
      </c>
      <c r="D145" s="86">
        <f>(D115+D128+D144)</f>
        <v>450764.08999999997</v>
      </c>
      <c r="E145" s="86">
        <f>(E115+E128+E144)</f>
        <v>620593.23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16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 t="str">
        <f>'DOE25'!G491</f>
        <v>6/10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 t="str">
        <f>'DOE25'!G492</f>
        <v>9/26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23623315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5.39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19180000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19180000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1480000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1480000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17700000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17700000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5724183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5724183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23424183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23424183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1475000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1475000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914278.75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914278.75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2389278.75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2389278.75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MASCENIC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11489</v>
      </c>
    </row>
    <row r="5" spans="1:4" x14ac:dyDescent="0.2">
      <c r="B5" t="s">
        <v>704</v>
      </c>
      <c r="C5" s="179">
        <f>IF('DOE25'!G665+'DOE25'!G670=0,0,ROUND('DOE25'!G672,0))</f>
        <v>11264</v>
      </c>
    </row>
    <row r="6" spans="1:4" x14ac:dyDescent="0.2">
      <c r="B6" t="s">
        <v>62</v>
      </c>
      <c r="C6" s="179">
        <f>IF('DOE25'!H665+'DOE25'!H670=0,0,ROUND('DOE25'!H672,0))</f>
        <v>15463</v>
      </c>
    </row>
    <row r="7" spans="1:4" x14ac:dyDescent="0.2">
      <c r="B7" t="s">
        <v>705</v>
      </c>
      <c r="C7" s="179">
        <f>IF('DOE25'!I665+'DOE25'!I670=0,0,ROUND('DOE25'!I672,0))</f>
        <v>12668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6595559</v>
      </c>
      <c r="D10" s="182">
        <f>ROUND((C10/$C$28)*100,1)</f>
        <v>42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1525941</v>
      </c>
      <c r="D11" s="182">
        <f>ROUND((C11/$C$28)*100,1)</f>
        <v>9.6999999999999993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149475</v>
      </c>
      <c r="D12" s="182">
        <f>ROUND((C12/$C$28)*100,1)</f>
        <v>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185717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1094553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373730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931944</v>
      </c>
      <c r="D17" s="182">
        <f t="shared" si="0"/>
        <v>5.9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1106849</v>
      </c>
      <c r="D18" s="182">
        <f t="shared" si="0"/>
        <v>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340151</v>
      </c>
      <c r="D19" s="182">
        <f t="shared" si="0"/>
        <v>2.2000000000000002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1429217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740327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993916</v>
      </c>
      <c r="D25" s="182">
        <f t="shared" si="0"/>
        <v>6.3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254290.18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15721669.18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15721669.18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1480000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7755845</v>
      </c>
      <c r="D35" s="182">
        <f t="shared" ref="D35:D40" si="1">ROUND((C35/$C$41)*100,1)</f>
        <v>44.5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1153859.0700000003</v>
      </c>
      <c r="D36" s="182">
        <f t="shared" si="1"/>
        <v>6.6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6697074</v>
      </c>
      <c r="D37" s="182">
        <f t="shared" si="1"/>
        <v>38.5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999728</v>
      </c>
      <c r="D38" s="182">
        <f t="shared" si="1"/>
        <v>5.7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803682</v>
      </c>
      <c r="D39" s="182">
        <f t="shared" si="1"/>
        <v>4.5999999999999996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17410188.07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MASCENIC REGIONAL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2015-10-08T15:42:53Z</cp:lastPrinted>
  <dcterms:created xsi:type="dcterms:W3CDTF">1997-12-04T19:04:30Z</dcterms:created>
  <dcterms:modified xsi:type="dcterms:W3CDTF">2015-11-30T13:28:57Z</dcterms:modified>
</cp:coreProperties>
</file>