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3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C120" i="2" s="1"/>
  <c r="L240" i="1"/>
  <c r="D39" i="13"/>
  <c r="F13" i="13"/>
  <c r="G13" i="13"/>
  <c r="L206" i="1"/>
  <c r="L224" i="1"/>
  <c r="C122" i="2" s="1"/>
  <c r="L242" i="1"/>
  <c r="F16" i="13"/>
  <c r="G16" i="13"/>
  <c r="L209" i="1"/>
  <c r="C125" i="2" s="1"/>
  <c r="L227" i="1"/>
  <c r="L245" i="1"/>
  <c r="F5" i="13"/>
  <c r="G5" i="13"/>
  <c r="L197" i="1"/>
  <c r="L198" i="1"/>
  <c r="C11" i="10" s="1"/>
  <c r="L199" i="1"/>
  <c r="L200" i="1"/>
  <c r="C13" i="10" s="1"/>
  <c r="L215" i="1"/>
  <c r="L216" i="1"/>
  <c r="L217" i="1"/>
  <c r="L218" i="1"/>
  <c r="L233" i="1"/>
  <c r="L234" i="1"/>
  <c r="L247" i="1" s="1"/>
  <c r="L235" i="1"/>
  <c r="L236" i="1"/>
  <c r="F6" i="13"/>
  <c r="G6" i="13"/>
  <c r="L202" i="1"/>
  <c r="L220" i="1"/>
  <c r="C118" i="2" s="1"/>
  <c r="L238" i="1"/>
  <c r="F7" i="13"/>
  <c r="G7" i="13"/>
  <c r="L203" i="1"/>
  <c r="C16" i="10" s="1"/>
  <c r="L221" i="1"/>
  <c r="L239" i="1"/>
  <c r="F12" i="13"/>
  <c r="G12" i="13"/>
  <c r="L205" i="1"/>
  <c r="L223" i="1"/>
  <c r="C18" i="10" s="1"/>
  <c r="L241" i="1"/>
  <c r="F14" i="13"/>
  <c r="G14" i="13"/>
  <c r="L207" i="1"/>
  <c r="D14" i="13" s="1"/>
  <c r="C14" i="13" s="1"/>
  <c r="L225" i="1"/>
  <c r="L243" i="1"/>
  <c r="F15" i="13"/>
  <c r="G15" i="13"/>
  <c r="L208" i="1"/>
  <c r="L226" i="1"/>
  <c r="C124" i="2" s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D127" i="2" s="1"/>
  <c r="D128" i="2" s="1"/>
  <c r="L360" i="1"/>
  <c r="I367" i="1"/>
  <c r="I369" i="1" s="1"/>
  <c r="H634" i="1" s="1"/>
  <c r="J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309" i="1" s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28" i="1" s="1"/>
  <c r="H660" i="1" s="1"/>
  <c r="H664" i="1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H25" i="13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401" i="1" s="1"/>
  <c r="C139" i="2" s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C58" i="2" s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9" i="1" s="1"/>
  <c r="F162" i="1"/>
  <c r="G147" i="1"/>
  <c r="D85" i="2" s="1"/>
  <c r="D91" i="2" s="1"/>
  <c r="G162" i="1"/>
  <c r="H147" i="1"/>
  <c r="H169" i="1" s="1"/>
  <c r="H162" i="1"/>
  <c r="I147" i="1"/>
  <c r="F85" i="2" s="1"/>
  <c r="I162" i="1"/>
  <c r="C10" i="10"/>
  <c r="C12" i="10"/>
  <c r="C15" i="10"/>
  <c r="C17" i="10"/>
  <c r="C19" i="10"/>
  <c r="C21" i="10"/>
  <c r="L250" i="1"/>
  <c r="L332" i="1"/>
  <c r="L254" i="1"/>
  <c r="C25" i="10"/>
  <c r="L268" i="1"/>
  <c r="L269" i="1"/>
  <c r="L349" i="1"/>
  <c r="L350" i="1"/>
  <c r="E143" i="2" s="1"/>
  <c r="I665" i="1"/>
  <c r="I670" i="1"/>
  <c r="L229" i="1"/>
  <c r="F661" i="1"/>
  <c r="H661" i="1"/>
  <c r="F662" i="1"/>
  <c r="G662" i="1"/>
  <c r="I662" i="1" s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K549" i="1" s="1"/>
  <c r="L522" i="1"/>
  <c r="F550" i="1" s="1"/>
  <c r="L523" i="1"/>
  <c r="F551" i="1" s="1"/>
  <c r="K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D18" i="2" s="1"/>
  <c r="E8" i="2"/>
  <c r="F8" i="2"/>
  <c r="I439" i="1"/>
  <c r="J9" i="1" s="1"/>
  <c r="G8" i="2" s="1"/>
  <c r="C9" i="2"/>
  <c r="C18" i="2" s="1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81" i="2" s="1"/>
  <c r="C76" i="2"/>
  <c r="E76" i="2"/>
  <c r="E78" i="2" s="1"/>
  <c r="E81" i="2" s="1"/>
  <c r="F76" i="2"/>
  <c r="C77" i="2"/>
  <c r="D77" i="2"/>
  <c r="D78" i="2" s="1"/>
  <c r="E77" i="2"/>
  <c r="F77" i="2"/>
  <c r="G77" i="2"/>
  <c r="G78" i="2" s="1"/>
  <c r="G81" i="2" s="1"/>
  <c r="C79" i="2"/>
  <c r="D79" i="2"/>
  <c r="D81" i="2" s="1"/>
  <c r="E79" i="2"/>
  <c r="C80" i="2"/>
  <c r="E80" i="2"/>
  <c r="C85" i="2"/>
  <c r="C91" i="2" s="1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5" i="2" s="1"/>
  <c r="E110" i="2"/>
  <c r="C111" i="2"/>
  <c r="E111" i="2"/>
  <c r="E112" i="2"/>
  <c r="C113" i="2"/>
  <c r="E113" i="2"/>
  <c r="E114" i="2"/>
  <c r="D115" i="2"/>
  <c r="F115" i="2"/>
  <c r="G115" i="2"/>
  <c r="E118" i="2"/>
  <c r="E119" i="2"/>
  <c r="E120" i="2"/>
  <c r="E121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J617" i="1" s="1"/>
  <c r="G19" i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F460" i="1"/>
  <c r="G460" i="1"/>
  <c r="H460" i="1"/>
  <c r="F461" i="1"/>
  <c r="H639" i="1" s="1"/>
  <c r="G461" i="1"/>
  <c r="H461" i="1"/>
  <c r="H641" i="1" s="1"/>
  <c r="J641" i="1" s="1"/>
  <c r="F470" i="1"/>
  <c r="F476" i="1" s="1"/>
  <c r="H622" i="1" s="1"/>
  <c r="J622" i="1" s="1"/>
  <c r="G470" i="1"/>
  <c r="H470" i="1"/>
  <c r="I470" i="1"/>
  <c r="J470" i="1"/>
  <c r="J476" i="1" s="1"/>
  <c r="H626" i="1" s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J545" i="1" s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I571" i="1" s="1"/>
  <c r="J560" i="1"/>
  <c r="K560" i="1"/>
  <c r="L562" i="1"/>
  <c r="L563" i="1"/>
  <c r="L565" i="1" s="1"/>
  <c r="L564" i="1"/>
  <c r="F565" i="1"/>
  <c r="F571" i="1" s="1"/>
  <c r="G565" i="1"/>
  <c r="H565" i="1"/>
  <c r="H571" i="1" s="1"/>
  <c r="I565" i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J639" i="1" s="1"/>
  <c r="G640" i="1"/>
  <c r="J640" i="1" s="1"/>
  <c r="H640" i="1"/>
  <c r="G641" i="1"/>
  <c r="G643" i="1"/>
  <c r="H643" i="1"/>
  <c r="G644" i="1"/>
  <c r="J644" i="1" s="1"/>
  <c r="H644" i="1"/>
  <c r="G645" i="1"/>
  <c r="J645" i="1" s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L256" i="1"/>
  <c r="I257" i="1"/>
  <c r="I271" i="1" s="1"/>
  <c r="G164" i="2"/>
  <c r="C26" i="10"/>
  <c r="L351" i="1"/>
  <c r="L290" i="1"/>
  <c r="C70" i="2"/>
  <c r="A40" i="12"/>
  <c r="D12" i="13"/>
  <c r="C12" i="13" s="1"/>
  <c r="D18" i="13"/>
  <c r="C18" i="13" s="1"/>
  <c r="D7" i="13"/>
  <c r="C7" i="13" s="1"/>
  <c r="D17" i="13"/>
  <c r="C17" i="13" s="1"/>
  <c r="E8" i="13"/>
  <c r="C8" i="13" s="1"/>
  <c r="F78" i="2"/>
  <c r="F81" i="2" s="1"/>
  <c r="D50" i="2"/>
  <c r="F18" i="2"/>
  <c r="G156" i="2"/>
  <c r="E103" i="2"/>
  <c r="E62" i="2"/>
  <c r="E63" i="2" s="1"/>
  <c r="G62" i="2"/>
  <c r="D19" i="13"/>
  <c r="C19" i="13" s="1"/>
  <c r="E13" i="13"/>
  <c r="C13" i="13" s="1"/>
  <c r="L427" i="1"/>
  <c r="J257" i="1"/>
  <c r="H112" i="1"/>
  <c r="K605" i="1"/>
  <c r="G648" i="1" s="1"/>
  <c r="K571" i="1"/>
  <c r="L419" i="1"/>
  <c r="I169" i="1"/>
  <c r="G552" i="1"/>
  <c r="J643" i="1"/>
  <c r="H476" i="1"/>
  <c r="H624" i="1" s="1"/>
  <c r="I476" i="1"/>
  <c r="H625" i="1" s="1"/>
  <c r="J625" i="1" s="1"/>
  <c r="G338" i="1"/>
  <c r="G352" i="1" s="1"/>
  <c r="J140" i="1"/>
  <c r="H257" i="1"/>
  <c r="H271" i="1" s="1"/>
  <c r="I552" i="1"/>
  <c r="K550" i="1"/>
  <c r="G22" i="2"/>
  <c r="K598" i="1"/>
  <c r="G647" i="1" s="1"/>
  <c r="J647" i="1" s="1"/>
  <c r="J552" i="1"/>
  <c r="C29" i="10"/>
  <c r="H140" i="1"/>
  <c r="L393" i="1"/>
  <c r="C138" i="2" s="1"/>
  <c r="F22" i="13"/>
  <c r="C22" i="13" s="1"/>
  <c r="J651" i="1"/>
  <c r="L560" i="1"/>
  <c r="H338" i="1"/>
  <c r="H352" i="1" s="1"/>
  <c r="F338" i="1"/>
  <c r="F352" i="1" s="1"/>
  <c r="G192" i="1"/>
  <c r="E128" i="2"/>
  <c r="C35" i="10"/>
  <c r="D5" i="13"/>
  <c r="C5" i="13" s="1"/>
  <c r="J655" i="1"/>
  <c r="L570" i="1"/>
  <c r="I545" i="1"/>
  <c r="G36" i="2"/>
  <c r="G545" i="1"/>
  <c r="H545" i="1"/>
  <c r="I661" i="1" l="1"/>
  <c r="K552" i="1"/>
  <c r="C25" i="13"/>
  <c r="H33" i="13"/>
  <c r="E16" i="13"/>
  <c r="F552" i="1"/>
  <c r="F112" i="1"/>
  <c r="D29" i="13"/>
  <c r="C29" i="13" s="1"/>
  <c r="G624" i="1"/>
  <c r="J624" i="1" s="1"/>
  <c r="L534" i="1"/>
  <c r="K500" i="1"/>
  <c r="I460" i="1"/>
  <c r="I452" i="1"/>
  <c r="I461" i="1" s="1"/>
  <c r="H642" i="1" s="1"/>
  <c r="I446" i="1"/>
  <c r="G642" i="1" s="1"/>
  <c r="F271" i="1"/>
  <c r="D145" i="2"/>
  <c r="C123" i="2"/>
  <c r="C121" i="2"/>
  <c r="C119" i="2"/>
  <c r="C128" i="2" s="1"/>
  <c r="C112" i="2"/>
  <c r="C110" i="2"/>
  <c r="C115" i="2" s="1"/>
  <c r="G661" i="1"/>
  <c r="L211" i="1"/>
  <c r="L257" i="1" s="1"/>
  <c r="L271" i="1" s="1"/>
  <c r="G632" i="1" s="1"/>
  <c r="J632" i="1" s="1"/>
  <c r="C20" i="10"/>
  <c r="L362" i="1"/>
  <c r="F660" i="1"/>
  <c r="F664" i="1" s="1"/>
  <c r="C62" i="2"/>
  <c r="C63" i="2" s="1"/>
  <c r="J271" i="1"/>
  <c r="D6" i="13"/>
  <c r="C6" i="13" s="1"/>
  <c r="D15" i="13"/>
  <c r="C15" i="13" s="1"/>
  <c r="L544" i="1"/>
  <c r="L524" i="1"/>
  <c r="L545" i="1" s="1"/>
  <c r="J338" i="1"/>
  <c r="J352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J618" i="1"/>
  <c r="G667" i="1"/>
  <c r="G672" i="1"/>
  <c r="C5" i="10" s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C104" i="2"/>
  <c r="J652" i="1"/>
  <c r="J642" i="1"/>
  <c r="G571" i="1"/>
  <c r="I434" i="1"/>
  <c r="G434" i="1"/>
  <c r="E104" i="2"/>
  <c r="I663" i="1"/>
  <c r="C27" i="10"/>
  <c r="C28" i="10" s="1"/>
  <c r="G635" i="1"/>
  <c r="J635" i="1" s="1"/>
  <c r="F672" i="1" l="1"/>
  <c r="C4" i="10" s="1"/>
  <c r="F667" i="1"/>
  <c r="F193" i="1"/>
  <c r="G627" i="1" s="1"/>
  <c r="J627" i="1" s="1"/>
  <c r="L408" i="1"/>
  <c r="D31" i="13"/>
  <c r="C31" i="13" s="1"/>
  <c r="C145" i="2"/>
  <c r="E33" i="13"/>
  <c r="D35" i="13" s="1"/>
  <c r="C16" i="13"/>
  <c r="H648" i="1"/>
  <c r="J648" i="1" s="1"/>
  <c r="G104" i="2"/>
  <c r="I660" i="1"/>
  <c r="I664" i="1" s="1"/>
  <c r="I672" i="1" s="1"/>
  <c r="C7" i="10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G637" i="1" l="1"/>
  <c r="J637" i="1" s="1"/>
  <c r="H646" i="1"/>
  <c r="J646" i="1" s="1"/>
  <c r="D33" i="13"/>
  <c r="D36" i="13" s="1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<sst xmlns="http://schemas.openxmlformats.org/spreadsheetml/2006/main" count="3956" uniqueCount="914">
  <si>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</si>
  <si>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</si>
  <si>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</si>
  <si>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</si>
  <si>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</si>
  <si>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</si>
  <si>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</si>
  <si>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</si>
  <si>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</si>
  <si>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</si>
  <si>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</si>
  <si>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</si>
  <si>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</si>
  <si>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</si>
  <si>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</si>
  <si>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</si>
  <si>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</si>
  <si>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</si>
  <si>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</si>
  <si>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</si>
  <si>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</si>
  <si>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</si>
  <si>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</si>
  <si>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</si>
  <si>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</si>
  <si>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</si>
  <si>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</si>
  <si>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</si>
  <si>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</si>
  <si>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</si>
  <si>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</si>
  <si>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</si>
  <si>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</si>
  <si>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</si>
  <si>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</si>
  <si>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</si>
  <si>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</si>
  <si>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</si>
  <si>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</si>
  <si>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</si>
  <si>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</si>
  <si>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</si>
  <si>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</si>
  <si>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</si>
  <si>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</si>
  <si>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</si>
  <si>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</si>
  <si>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</si>
  <si>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</si>
  <si>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</si>
  <si>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</si>
  <si>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</si>
  <si>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</si>
  <si>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</si>
  <si>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</si>
  <si>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</si>
  <si>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</si>
  <si>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</si>
  <si>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</si>
  <si>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</si>
  <si>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</si>
  <si>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</si>
  <si>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</si>
  <si>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</si>
  <si>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</si>
  <si>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</si>
  <si>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</si>
  <si>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</si>
  <si>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</si>
  <si>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</si>
  <si>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</si>
  <si>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</si>
  <si>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</si>
  <si>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</si>
  <si>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</si>
  <si>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</si>
  <si>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</si>
  <si>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</si>
  <si>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</si>
  <si>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</si>
  <si>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</si>
  <si>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</si>
  <si>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</si>
  <si>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</si>
  <si>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</si>
  <si>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</si>
  <si>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</si>
  <si>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</si>
  <si>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</si>
  <si>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</si>
  <si>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</si>
  <si>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</si>
  <si>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</si>
  <si>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</si>
  <si>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</si>
  <si>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</si>
  <si>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</si>
  <si>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</si>
  <si>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</si>
  <si>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</si>
  <si>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</si>
  <si>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</si>
  <si>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</si>
  <si>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</si>
  <si>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</si>
  <si>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</si>
  <si>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</si>
  <si>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</si>
  <si>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</si>
  <si>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</si>
  <si>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</si>
  <si>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</si>
  <si>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</si>
  <si>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</si>
  <si>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</si>
  <si>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</si>
  <si>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</si>
  <si>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</si>
  <si>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</si>
  <si>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</si>
  <si>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</si>
  <si>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</si>
  <si>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</si>
  <si>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</si>
  <si>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</si>
  <si>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</si>
  <si>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</si>
  <si>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</si>
  <si>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</si>
  <si>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</si>
  <si>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</si>
  <si>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</si>
  <si>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</si>
  <si>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</si>
  <si>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</si>
  <si>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</si>
  <si>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</si>
  <si>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</si>
  <si>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</si>
  <si>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</si>
  <si>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</si>
  <si>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</si>
  <si>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</si>
  <si>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</si>
  <si>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</si>
  <si>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</si>
  <si>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</si>
  <si>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</si>
  <si>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</si>
  <si>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</si>
  <si>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</si>
  <si>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</si>
  <si>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</si>
  <si>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</si>
  <si>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</si>
  <si>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</si>
  <si>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</si>
  <si>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</si>
  <si>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</si>
  <si>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</si>
  <si>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</si>
  <si>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</si>
  <si>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</si>
  <si>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</si>
  <si>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</si>
  <si>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</si>
  <si>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</si>
  <si>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</si>
  <si>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</si>
  <si>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</si>
  <si>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</si>
  <si>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</si>
  <si>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</si>
  <si>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</si>
  <si>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</si>
  <si>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</si>
  <si>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</si>
  <si>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</si>
  <si>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</si>
  <si>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</si>
  <si>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</si>
  <si>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</si>
  <si>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</si>
  <si>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</si>
  <si>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</si>
  <si>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</si>
  <si>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</si>
  <si>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</si>
  <si>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</si>
  <si>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</si>
  <si>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</si>
  <si>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</si>
  <si>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</si>
  <si>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</si>
  <si>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</si>
  <si>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</si>
  <si>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</si>
  <si>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</si>
  <si>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</si>
  <si>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</si>
  <si>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</si>
  <si>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</si>
  <si>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</si>
  <si>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</si>
  <si>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</si>
  <si>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</si>
  <si>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</si>
  <si>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</si>
  <si>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</si>
  <si>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</si>
  <si>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</si>
  <si>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</si>
  <si>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</si>
  <si>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</si>
  <si>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</si>
  <si>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</si>
  <si>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</si>
  <si>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</si>
  <si>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</si>
  <si>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</si>
  <si>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</si>
  <si>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</si>
  <si>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</si>
  <si>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</si>
  <si>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</si>
  <si>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</si>
  <si>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</si>
  <si>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</si>
  <si>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</si>
  <si>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</si>
  <si>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</si>
  <si>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</si>
  <si>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</si>
  <si>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</si>
  <si>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</si>
  <si>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</si>
  <si>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</si>
  <si>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</si>
  <si>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</si>
  <si>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</si>
  <si>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</si>
  <si>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</si>
  <si>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</si>
  <si>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</si>
  <si>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</si>
  <si>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</si>
  <si>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</si>
  <si>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</si>
  <si>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</si>
  <si>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</si>
  <si>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</si>
  <si>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</si>
  <si>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</si>
  <si>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</si>
  <si>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</si>
  <si>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</si>
  <si>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</si>
  <si>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</si>
  <si>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</si>
  <si>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</si>
  <si>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</si>
  <si>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</si>
  <si>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</si>
  <si>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</si>
  <si>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</si>
  <si>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</si>
  <si>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</si>
  <si>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</si>
  <si>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</si>
  <si>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</si>
  <si>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</si>
  <si>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</si>
  <si>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</si>
  <si>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</si>
  <si>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</si>
  <si>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</si>
  <si>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</si>
  <si>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</si>
  <si>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</si>
  <si>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</si>
  <si>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</si>
  <si>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</si>
  <si>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</si>
  <si>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</si>
  <si>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</si>
  <si>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</si>
  <si>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</si>
  <si>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</si>
  <si>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</si>
  <si>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</si>
  <si>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</si>
  <si>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</si>
  <si>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</si>
  <si>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</si>
  <si>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</si>
  <si>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</si>
  <si>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</si>
  <si>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</si>
  <si>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</si>
  <si>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</si>
  <si>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</si>
  <si>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</si>
  <si>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</si>
  <si>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</si>
  <si>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</si>
  <si>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</si>
  <si>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</si>
  <si>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</si>
  <si>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</si>
  <si>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</si>
  <si>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</si>
  <si>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</si>
  <si>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</si>
  <si>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</si>
  <si>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</si>
  <si>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</si>
  <si>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</si>
  <si>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</si>
  <si>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</si>
  <si>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</si>
  <si>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</si>
  <si>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</si>
  <si>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</si>
  <si>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</si>
  <si>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</si>
  <si>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</si>
  <si>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</si>
  <si>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</si>
  <si>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</si>
  <si>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</si>
  <si>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</si>
  <si>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</si>
  <si>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</si>
  <si>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</si>
  <si>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</si>
  <si>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</si>
  <si>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</si>
  <si>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</si>
  <si>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</si>
  <si>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</si>
  <si>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</si>
  <si>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</si>
  <si>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</si>
  <si>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</si>
  <si>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</si>
  <si>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</si>
  <si>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</si>
  <si>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</si>
  <si>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</si>
  <si>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</si>
  <si>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</si>
  <si>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</si>
  <si>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</si>
  <si>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</si>
  <si>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</si>
  <si>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</si>
  <si>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</si>
  <si>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</si>
  <si>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</si>
  <si>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</si>
  <si>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</si>
  <si>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</si>
  <si>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</si>
  <si>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</si>
  <si>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</si>
  <si>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</si>
  <si>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</si>
  <si>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</si>
  <si>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</si>
  <si>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</si>
  <si>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</si>
  <si>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</si>
  <si>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</si>
  <si>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</si>
  <si>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</si>
  <si>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</si>
  <si>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</si>
  <si>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</si>
  <si>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</si>
  <si>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</si>
  <si>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</si>
  <si>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</si>
  <si>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</si>
  <si>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</si>
  <si>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</si>
  <si>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</si>
  <si>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</si>
  <si>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</si>
  <si>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</si>
  <si>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</si>
  <si>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</si>
  <si>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</si>
  <si>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</si>
  <si>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</si>
  <si>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</si>
  <si>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</si>
  <si>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</si>
  <si>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</si>
  <si>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</si>
  <si>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</si>
  <si>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</si>
  <si>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</si>
  <si>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</si>
  <si>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</si>
  <si>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</si>
  <si>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</si>
  <si>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</si>
  <si>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</si>
  <si>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</si>
  <si>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</si>
  <si>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</si>
  <si>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</si>
  <si>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</si>
  <si>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</si>
  <si>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</si>
  <si>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</si>
  <si>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</si>
  <si>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</si>
  <si>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</si>
  <si>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</si>
  <si>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</si>
  <si>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</si>
  <si>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</si>
  <si>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</si>
  <si>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</si>
  <si>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</si>
  <si>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</si>
  <si>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</si>
  <si>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</si>
  <si>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</si>
  <si>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</si>
  <si>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</si>
  <si>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</si>
  <si>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</si>
  <si>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</si>
  <si>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</si>
  <si>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</si>
  <si>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</si>
  <si>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</si>
  <si>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</si>
  <si>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</si>
  <si>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</si>
  <si>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</si>
  <si>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</si>
  <si>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</si>
  <si>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</si>
  <si>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</si>
  <si>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</si>
  <si>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</si>
  <si>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</si>
  <si>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</si>
  <si>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</si>
  <si>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</si>
  <si>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</si>
  <si>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</si>
  <si>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</si>
  <si>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</si>
  <si>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</si>
  <si>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</si>
  <si>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</si>
  <si>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</si>
  <si>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</si>
  <si>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</si>
  <si>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</si>
  <si>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</si>
  <si>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</si>
  <si>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</si>
  <si>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</si>
  <si>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</si>
  <si>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</si>
  <si>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</si>
  <si>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</si>
  <si>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</si>
  <si>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</si>
  <si>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</si>
  <si>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</si>
  <si>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</si>
  <si>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</si>
  <si>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</si>
  <si>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</si>
  <si>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</si>
  <si>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</si>
  <si>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</si>
  <si>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</si>
  <si>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</si>
  <si>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</si>
  <si>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</si>
  <si>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</si>
  <si>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</si>
  <si>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</si>
  <si>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</si>
  <si>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</si>
  <si>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</si>
  <si>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</si>
  <si>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</si>
  <si>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</si>
  <si>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</si>
  <si>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</si>
  <si>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</si>
  <si>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</si>
  <si>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</si>
  <si>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</si>
  <si>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</si>
  <si>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</si>
  <si>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</si>
  <si>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</si>
  <si>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</si>
  <si>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</si>
  <si>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</si>
  <si>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</si>
  <si>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</si>
  <si>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</si>
  <si>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</si>
  <si>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</si>
  <si>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</si>
  <si>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</si>
  <si>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</si>
  <si>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</si>
  <si>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</si>
  <si>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</si>
  <si>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</si>
  <si>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</si>
  <si>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</si>
  <si>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</si>
  <si>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</si>
  <si>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</si>
  <si>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</si>
  <si>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</si>
  <si>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</si>
  <si>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</si>
  <si>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</si>
  <si>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</si>
  <si>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</si>
  <si>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</si>
  <si>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</si>
  <si>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</si>
  <si>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</si>
  <si>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</si>
  <si>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</si>
  <si>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</si>
  <si>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</si>
  <si>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</si>
  <si>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</si>
  <si>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</si>
  <si>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</si>
  <si>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</si>
  <si>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</si>
  <si>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</si>
  <si>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</si>
  <si>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</si>
  <si>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</si>
  <si>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</si>
  <si>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</si>
  <si>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</si>
  <si>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</si>
  <si>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</si>
  <si>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</si>
  <si>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</si>
  <si>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</si>
  <si>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</si>
  <si>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</si>
  <si>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</si>
  <si>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</si>
  <si>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</si>
  <si>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</si>
  <si>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</si>
  <si>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</si>
  <si>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</si>
  <si>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</si>
  <si>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</si>
  <si>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</si>
  <si>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</si>
  <si>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</si>
  <si>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</si>
  <si>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</si>
  <si>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</si>
  <si>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</si>
  <si>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</si>
  <si>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</si>
  <si>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</si>
  <si>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</si>
  <si>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</si>
  <si>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</si>
  <si>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</si>
  <si>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</si>
  <si>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</si>
  <si>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</si>
  <si>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</si>
  <si>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</si>
  <si>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</si>
  <si>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</si>
  <si>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</si>
  <si>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</si>
  <si>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</si>
  <si>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</si>
  <si>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</si>
  <si>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</si>
  <si>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</si>
  <si>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</si>
  <si>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</si>
  <si>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</si>
  <si>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</si>
  <si>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</si>
  <si>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</si>
  <si>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</si>
  <si>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</si>
  <si>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</si>
  <si>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</si>
  <si>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</si>
  <si>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</si>
  <si>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</si>
  <si>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</si>
  <si>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</si>
  <si>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</si>
  <si>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</si>
  <si>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</si>
  <si>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</si>
  <si>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</si>
  <si>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</si>
  <si>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</si>
  <si>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</si>
  <si>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</si>
  <si>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</si>
  <si>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</si>
  <si>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</si>
  <si>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</si>
  <si>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</si>
  <si>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</si>
  <si>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</si>
  <si>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</si>
  <si>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</si>
  <si>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</si>
  <si>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</si>
  <si>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</si>
  <si>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</si>
  <si>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</si>
  <si>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</si>
  <si>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</si>
  <si>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</si>
  <si>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</si>
  <si>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</si>
  <si>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</si>
  <si>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</si>
  <si>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</si>
  <si>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</si>
  <si>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</si>
  <si>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</si>
  <si>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</si>
  <si>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</si>
  <si>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</si>
  <si>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</si>
  <si>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</si>
  <si>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</si>
  <si>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</si>
  <si>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</si>
  <si>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</si>
  <si>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</si>
  <si>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</si>
  <si>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</si>
  <si>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</si>
  <si>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</si>
  <si>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</si>
  <si>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</si>
  <si>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</si>
  <si>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</si>
  <si>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</si>
  <si>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</si>
  <si>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</si>
  <si>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</si>
  <si>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</si>
  <si>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</si>
  <si>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</si>
  <si>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</si>
  <si>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</si>
  <si>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</si>
  <si>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</si>
  <si>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</si>
  <si>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</si>
  <si>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</si>
  <si>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</si>
  <si>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</si>
  <si>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</si>
  <si>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</si>
  <si>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</si>
  <si>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</si>
  <si>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</si>
  <si>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</si>
  <si>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</si>
  <si>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</si>
  <si>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</si>
  <si>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</si>
  <si>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</si>
  <si>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</si>
  <si>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</si>
  <si>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</si>
  <si>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</si>
  <si>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</si>
  <si>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</si>
  <si>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</si>
  <si>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</si>
  <si>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</si>
  <si>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</si>
  <si>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</si>
  <si>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</si>
  <si>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</si>
  <si>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</si>
  <si>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</si>
  <si>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</si>
  <si>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</si>
  <si>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</si>
  <si>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</si>
  <si>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</si>
  <si>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</si>
  <si>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</si>
  <si>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</si>
  <si>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</si>
  <si>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</si>
  <si>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</si>
  <si>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</si>
  <si>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</si>
  <si>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</si>
  <si>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</si>
  <si>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</si>
  <si>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</si>
  <si>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</si>
  <si>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</si>
  <si>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</si>
  <si>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</si>
  <si>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</si>
  <si>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</si>
  <si>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</si>
  <si>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</si>
  <si>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</si>
  <si>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</si>
  <si>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</si>
  <si>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</si>
  <si>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</si>
  <si>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</si>
  <si>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</si>
  <si>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</si>
  <si>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</si>
  <si>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</si>
  <si>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</si>
  <si>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</si>
  <si>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</si>
  <si>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</si>
  <si>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</si>
  <si>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</si>
  <si>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</si>
  <si>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</si>
  <si>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</si>
  <si>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</si>
  <si>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</si>
  <si>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</si>
  <si>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</si>
  <si>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</si>
  <si>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</si>
  <si>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</si>
  <si>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</si>
  <si>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</si>
  <si>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</si>
  <si>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</si>
  <si>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</si>
  <si>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</si>
  <si>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</si>
  <si>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</si>
  <si>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</si>
  <si>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</si>
  <si>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</si>
  <si>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</si>
  <si>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</si>
  <si>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</si>
  <si>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</si>
  <si>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</si>
  <si>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</si>
  <si>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</si>
  <si>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</si>
  <si>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</si>
  <si>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</si>
  <si>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</si>
  <si>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</si>
  <si>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</si>
  <si>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</si>
  <si>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</si>
  <si>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</si>
  <si>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</si>
  <si>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</si>
  <si>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</si>
  <si>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</si>
  <si>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</si>
  <si>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</si>
  <si>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</si>
  <si>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</si>
  <si>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</si>
  <si>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</si>
  <si>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</si>
  <si>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</si>
  <si>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</si>
  <si>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</si>
  <si>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</si>
  <si>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</si>
  <si>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</si>
  <si>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</si>
  <si>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</si>
  <si>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</si>
  <si>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</si>
  <si>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</si>
  <si>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</si>
  <si>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</si>
  <si>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</si>
  <si>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</si>
  <si>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</si>
  <si>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</si>
  <si>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</si>
  <si>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</si>
  <si>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</si>
  <si>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</si>
  <si>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</si>
  <si>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</si>
  <si>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</si>
  <si>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</si>
  <si>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</si>
  <si>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</si>
  <si>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</si>
  <si>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</si>
  <si>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</si>
  <si>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</si>
  <si>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</si>
  <si>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</si>
  <si>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</si>
  <si>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</si>
  <si>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</si>
  <si>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</si>
  <si>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</si>
  <si>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</si>
  <si>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</si>
  <si>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</si>
  <si>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</si>
  <si>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</si>
  <si>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</si>
  <si>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</si>
  <si>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</si>
  <si>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</si>
  <si>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</si>
  <si>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</si>
  <si>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</si>
  <si>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</si>
  <si>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</si>
  <si>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</si>
  <si>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</si>
  <si>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</si>
  <si>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</si>
  <si>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</si>
  <si>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</si>
  <si>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</si>
  <si>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</si>
  <si>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</si>
  <si>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</si>
  <si>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</si>
  <si>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</si>
  <si>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</si>
  <si>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</si>
  <si>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</si>
  <si>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</si>
  <si>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</si>
  <si>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</si>
  <si>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</si>
  <si>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</si>
  <si>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</si>
  <si>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</si>
  <si>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</si>
  <si>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</si>
  <si>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</si>
  <si>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</si>
  <si>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</si>
  <si>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</si>
  <si>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</si>
  <si>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</si>
  <si>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</si>
  <si>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</si>
  <si>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</si>
  <si>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</si>
  <si>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</si>
  <si>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</si>
  <si>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</si>
  <si>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</si>
  <si>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</si>
  <si>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</si>
  <si>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</si>
  <si>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</si>
  <si>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</si>
  <si>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</si>
  <si>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</si>
  <si>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</si>
  <si>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</si>
  <si>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</si>
  <si>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</si>
  <si>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</si>
  <si>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</si>
  <si>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</si>
  <si>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</si>
  <si>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</si>
  <si>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</si>
  <si>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</si>
  <si>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</si>
  <si>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</si>
  <si>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</si>
  <si>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</si>
  <si>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</si>
  <si>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</si>
  <si>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</si>
  <si>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Mascoma Valley - template fix</t>
  </si>
  <si>
    <t>1990 Other Miscellaneous Revenue: $12,125 Preschool Modular Sale, $23,116 Timber harvest sale, $10,204 HealthCare</t>
  </si>
  <si>
    <t>dental premium holiday, $21,823 TREC (thermal renewable energy credits) Sale, $98,331 NH PUC P4P Rebates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</si>
</sst>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343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1281980.81</v>
      </c>
      <c r="G9" s="18"/>
      <c r="H9" s="18"/>
      <c r="I9" s="18">
        <v>514900.8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-84684.33</v>
      </c>
      <c r="G12" s="18">
        <v>10275.18</v>
      </c>
      <c r="H12" s="18"/>
      <c r="I12" s="18"/>
      <c r="J12" s="67">
        <f>SUM(I441)</f>
        <v>696486.18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91244.4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9309.34</v>
      </c>
      <c r="G14" s="18">
        <v>6003.74</v>
      </c>
      <c r="H14" s="18">
        <v>3210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1206605.82</v>
      </c>
      <c r="G19" s="41">
        <f>SUM(G9:G18)</f>
        <v>16278.92</v>
      </c>
      <c r="H19" s="41">
        <f>SUM(H9:H18)</f>
        <v>94454.399999999994</v>
      </c>
      <c r="I19" s="41">
        <f>SUM(I9:I18)</f>
        <v>514900.8</v>
      </c>
      <c r="J19" s="41">
        <f>SUM(J9:J18)</f>
        <v>696486.18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8773.69</v>
      </c>
      <c r="H22" s="18">
        <v>-93458.01999999999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9585.94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4233.76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7654.28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13819.7</v>
      </c>
      <c r="G32" s="41">
        <f>SUM(G22:G31)</f>
        <v>16427.97</v>
      </c>
      <c r="H32" s="41">
        <f>SUM(H22:H31)</f>
        <v>-93458.01999999999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85287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18278</v>
      </c>
      <c r="G48" s="18"/>
      <c r="H48" s="18"/>
      <c r="I48" s="18"/>
      <c r="J48" s="13">
        <f>SUM(I459)</f>
        <v>696486.18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>
        <v>-149.05000000000001</v>
      </c>
      <c r="H49" s="18">
        <v>187912.42</v>
      </c>
      <c r="I49" s="18">
        <v>514900.8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964221.12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1192786.1200000001</v>
      </c>
      <c r="G51" s="41">
        <f>SUM(G35:G50)</f>
        <v>-149.05000000000001</v>
      </c>
      <c r="H51" s="41">
        <f>SUM(H35:H50)</f>
        <v>187912.42</v>
      </c>
      <c r="I51" s="41">
        <f>SUM(I35:I50)</f>
        <v>514900.8</v>
      </c>
      <c r="J51" s="41">
        <f>SUM(J35:J50)</f>
        <v>696486.18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1206605.82</v>
      </c>
      <c r="G52" s="41">
        <f>G51+G32</f>
        <v>16278.920000000002</v>
      </c>
      <c r="H52" s="41">
        <f>H51+H32</f>
        <v>94454.400000000023</v>
      </c>
      <c r="I52" s="41">
        <f>I51+I32</f>
        <v>514900.8</v>
      </c>
      <c r="J52" s="41">
        <f>J51+J32</f>
        <v>696486.18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14435461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14435461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>
        <v>46640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>
        <v>52190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98830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1345.06</v>
      </c>
      <c r="G96" s="18"/>
      <c r="H96" s="18"/>
      <c r="I96" s="18"/>
      <c r="J96" s="18">
        <v>64.13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191840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2397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119273.42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168976.14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172718.2</v>
      </c>
      <c r="G111" s="41">
        <f>SUM(G96:G110)</f>
        <v>191840</v>
      </c>
      <c r="H111" s="41">
        <f>SUM(H96:H110)</f>
        <v>119273.42</v>
      </c>
      <c r="I111" s="41">
        <f>SUM(I96:I110)</f>
        <v>0</v>
      </c>
      <c r="J111" s="41">
        <f>SUM(J96:J110)</f>
        <v>64.13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14608179.199999999</v>
      </c>
      <c r="G112" s="41">
        <f>G60+G111</f>
        <v>191840</v>
      </c>
      <c r="H112" s="41">
        <f>H60+H79+H94+H111</f>
        <v>218103.41999999998</v>
      </c>
      <c r="I112" s="41">
        <f>I60+I111</f>
        <v>0</v>
      </c>
      <c r="J112" s="41">
        <f>J60+J111</f>
        <v>64.13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3917272.57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2621967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6539239.5700000003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146397.49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116931.8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15619.2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5519.51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278948.49</v>
      </c>
      <c r="G136" s="41">
        <f>SUM(G123:G135)</f>
        <v>5519.51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6818188.0600000005</v>
      </c>
      <c r="G140" s="41">
        <f>G121+SUM(G136:G137)</f>
        <v>5519.51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168181.71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129809.52000000002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214441.95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299220.28000000003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131015.55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131015.55</v>
      </c>
      <c r="G162" s="41">
        <f>SUM(G150:G161)</f>
        <v>214441.95</v>
      </c>
      <c r="H162" s="41">
        <f>SUM(H150:H161)</f>
        <v>597211.51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2844.9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133860.45000000001</v>
      </c>
      <c r="G169" s="41">
        <f>G147+G162+SUM(G163:G168)</f>
        <v>214441.95</v>
      </c>
      <c r="H169" s="41">
        <f>H147+H162+SUM(H163:H168)</f>
        <v>597211.51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23986.560000000001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23986.560000000001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>
        <v>4092888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4092888</v>
      </c>
      <c r="J192" s="41">
        <f>J183</f>
        <v>23986.560000000001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21560227.709999997</v>
      </c>
      <c r="G193" s="47">
        <f>G112+G140+G169+G192</f>
        <v>411801.46</v>
      </c>
      <c r="H193" s="47">
        <f>H112+H140+H169+H192</f>
        <v>815314.92999999993</v>
      </c>
      <c r="I193" s="47">
        <f>I112+I140+I169+I192</f>
        <v>4092888</v>
      </c>
      <c r="J193" s="47">
        <f>J112+J140+J192</f>
        <v>24050.690000000002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3955167.27</v>
      </c>
      <c r="G197" s="18">
        <v>1732122.86</v>
      </c>
      <c r="H197" s="18">
        <v>33891.06</v>
      </c>
      <c r="I197" s="18">
        <v>174730.62</v>
      </c>
      <c r="J197" s="18">
        <v>78261.290000000008</v>
      </c>
      <c r="K197" s="18">
        <v>3837.39</v>
      </c>
      <c r="L197" s="19">
        <f>SUM(F197:K197)</f>
        <v>5978010.4899999993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1679058.78</v>
      </c>
      <c r="G198" s="18">
        <v>667426.37999999989</v>
      </c>
      <c r="H198" s="18">
        <v>332692.02</v>
      </c>
      <c r="I198" s="18">
        <v>9799.69</v>
      </c>
      <c r="J198" s="18">
        <v>1789.58</v>
      </c>
      <c r="K198" s="18"/>
      <c r="L198" s="19">
        <f>SUM(F198:K198)</f>
        <v>2690766.45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21642</v>
      </c>
      <c r="G200" s="18">
        <v>3398.4300000000003</v>
      </c>
      <c r="H200" s="18">
        <v>2730</v>
      </c>
      <c r="I200" s="18">
        <v>2285.4899999999998</v>
      </c>
      <c r="J200" s="18"/>
      <c r="K200" s="18">
        <v>435</v>
      </c>
      <c r="L200" s="19">
        <f>SUM(F200:K200)</f>
        <v>30490.92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373414</v>
      </c>
      <c r="G202" s="18">
        <v>171170.83</v>
      </c>
      <c r="H202" s="18">
        <v>339788.83</v>
      </c>
      <c r="I202" s="18">
        <v>2957.1400000000003</v>
      </c>
      <c r="J202" s="18"/>
      <c r="K202" s="18"/>
      <c r="L202" s="19">
        <f t="shared" ref="L202:L208" si="0">SUM(F202:K202)</f>
        <v>887330.79999999993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180233.79</v>
      </c>
      <c r="G203" s="18">
        <v>81539.850000000006</v>
      </c>
      <c r="H203" s="18">
        <v>41854.43</v>
      </c>
      <c r="I203" s="18">
        <v>36709.19</v>
      </c>
      <c r="J203" s="18">
        <v>88.44</v>
      </c>
      <c r="K203" s="18"/>
      <c r="L203" s="19">
        <f t="shared" si="0"/>
        <v>340425.7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394608.76</v>
      </c>
      <c r="G204" s="18">
        <v>151427.96</v>
      </c>
      <c r="H204" s="18">
        <v>228591.72000000003</v>
      </c>
      <c r="I204" s="18">
        <v>68080.72</v>
      </c>
      <c r="J204" s="18">
        <v>1713.69</v>
      </c>
      <c r="K204" s="18">
        <v>4386.05</v>
      </c>
      <c r="L204" s="19">
        <f t="shared" si="0"/>
        <v>848808.89999999991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506381.92000000004</v>
      </c>
      <c r="G205" s="18">
        <v>230870.30999999997</v>
      </c>
      <c r="H205" s="18">
        <v>34597.490000000005</v>
      </c>
      <c r="I205" s="18">
        <v>1662.62</v>
      </c>
      <c r="J205" s="18"/>
      <c r="K205" s="18"/>
      <c r="L205" s="19">
        <f t="shared" si="0"/>
        <v>773512.34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318731.73</v>
      </c>
      <c r="G207" s="18">
        <v>137194.65</v>
      </c>
      <c r="H207" s="18">
        <v>548720.44000000006</v>
      </c>
      <c r="I207" s="18">
        <v>187193.55</v>
      </c>
      <c r="J207" s="18">
        <v>51978.43</v>
      </c>
      <c r="K207" s="18"/>
      <c r="L207" s="19">
        <f t="shared" si="0"/>
        <v>1243818.8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573517.96000000008</v>
      </c>
      <c r="I208" s="18"/>
      <c r="J208" s="18"/>
      <c r="K208" s="18"/>
      <c r="L208" s="19">
        <f t="shared" si="0"/>
        <v>573517.96000000008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4187.8999999999996</v>
      </c>
      <c r="I209" s="18"/>
      <c r="J209" s="18"/>
      <c r="K209" s="18"/>
      <c r="L209" s="19">
        <f>SUM(F209:K209)</f>
        <v>4187.8999999999996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7429238.25</v>
      </c>
      <c r="G211" s="41">
        <f t="shared" si="1"/>
        <v>3175151.2700000005</v>
      </c>
      <c r="H211" s="41">
        <f t="shared" si="1"/>
        <v>2140571.85</v>
      </c>
      <c r="I211" s="41">
        <f t="shared" si="1"/>
        <v>483419.01999999996</v>
      </c>
      <c r="J211" s="41">
        <f t="shared" si="1"/>
        <v>133831.43000000002</v>
      </c>
      <c r="K211" s="41">
        <f t="shared" si="1"/>
        <v>8658.4399999999987</v>
      </c>
      <c r="L211" s="41">
        <f t="shared" si="1"/>
        <v>13370870.260000002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1807166.06</v>
      </c>
      <c r="G233" s="18">
        <v>848395.77999999991</v>
      </c>
      <c r="H233" s="18">
        <v>18583.830000000002</v>
      </c>
      <c r="I233" s="18">
        <v>122599.35</v>
      </c>
      <c r="J233" s="18">
        <v>55677.99</v>
      </c>
      <c r="K233" s="18">
        <v>9354.0300000000007</v>
      </c>
      <c r="L233" s="19">
        <f>SUM(F233:K233)</f>
        <v>2861777.04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526869.77</v>
      </c>
      <c r="G234" s="18">
        <v>295099.84000000003</v>
      </c>
      <c r="H234" s="18">
        <v>750561.89</v>
      </c>
      <c r="I234" s="18">
        <v>4670.07</v>
      </c>
      <c r="J234" s="18">
        <v>804.02</v>
      </c>
      <c r="K234" s="18"/>
      <c r="L234" s="19">
        <f>SUM(F234:K234)</f>
        <v>1578005.59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444520.56</v>
      </c>
      <c r="I235" s="18"/>
      <c r="J235" s="18"/>
      <c r="K235" s="18"/>
      <c r="L235" s="19">
        <f>SUM(F235:K235)</f>
        <v>444520.56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68412</v>
      </c>
      <c r="G236" s="18">
        <v>7530.59</v>
      </c>
      <c r="H236" s="18">
        <v>66687.789999999994</v>
      </c>
      <c r="I236" s="18">
        <v>13948.27</v>
      </c>
      <c r="J236" s="18">
        <v>12695.14</v>
      </c>
      <c r="K236" s="18">
        <v>5735</v>
      </c>
      <c r="L236" s="19">
        <f>SUM(F236:K236)</f>
        <v>175008.78999999998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219931</v>
      </c>
      <c r="G238" s="18">
        <v>91693.98</v>
      </c>
      <c r="H238" s="18">
        <v>158050.76999999999</v>
      </c>
      <c r="I238" s="18">
        <v>2834.1499999999996</v>
      </c>
      <c r="J238" s="18">
        <v>1485</v>
      </c>
      <c r="K238" s="18">
        <v>120</v>
      </c>
      <c r="L238" s="19">
        <f t="shared" ref="L238:L244" si="4">SUM(F238:K238)</f>
        <v>474114.9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76072.709999999992</v>
      </c>
      <c r="G239" s="18">
        <v>29393.300000000003</v>
      </c>
      <c r="H239" s="18">
        <v>18804.169999999998</v>
      </c>
      <c r="I239" s="18">
        <v>21363.82</v>
      </c>
      <c r="J239" s="18">
        <v>1651.03</v>
      </c>
      <c r="K239" s="18"/>
      <c r="L239" s="19">
        <f t="shared" si="4"/>
        <v>147285.03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177287.99000000002</v>
      </c>
      <c r="G240" s="18">
        <v>68032.86</v>
      </c>
      <c r="H240" s="18">
        <v>102700.62999999999</v>
      </c>
      <c r="I240" s="18">
        <v>30586.99</v>
      </c>
      <c r="J240" s="18">
        <v>769.93</v>
      </c>
      <c r="K240" s="18">
        <v>1970.55</v>
      </c>
      <c r="L240" s="19">
        <f t="shared" si="4"/>
        <v>381348.95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331766.37</v>
      </c>
      <c r="G241" s="18">
        <v>157911.11000000002</v>
      </c>
      <c r="H241" s="18">
        <v>19725.75</v>
      </c>
      <c r="I241" s="18">
        <v>4434.45</v>
      </c>
      <c r="J241" s="18"/>
      <c r="K241" s="18"/>
      <c r="L241" s="19">
        <f t="shared" si="4"/>
        <v>513837.68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167721.75999999998</v>
      </c>
      <c r="G243" s="18">
        <v>67443.41</v>
      </c>
      <c r="H243" s="18">
        <v>110830.97</v>
      </c>
      <c r="I243" s="18">
        <v>135574.66</v>
      </c>
      <c r="J243" s="18">
        <v>4745.0300000000007</v>
      </c>
      <c r="K243" s="18"/>
      <c r="L243" s="19">
        <f t="shared" si="4"/>
        <v>486315.83000000007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357261.53</v>
      </c>
      <c r="I244" s="18"/>
      <c r="J244" s="18"/>
      <c r="K244" s="18"/>
      <c r="L244" s="19">
        <f t="shared" si="4"/>
        <v>357261.53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1881.52</v>
      </c>
      <c r="I245" s="18"/>
      <c r="J245" s="18"/>
      <c r="K245" s="18"/>
      <c r="L245" s="19">
        <f>SUM(F245:K245)</f>
        <v>1881.52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3375227.66</v>
      </c>
      <c r="G247" s="41">
        <f t="shared" si="5"/>
        <v>1565500.87</v>
      </c>
      <c r="H247" s="41">
        <f t="shared" si="5"/>
        <v>2049609.41</v>
      </c>
      <c r="I247" s="41">
        <f t="shared" si="5"/>
        <v>336011.76</v>
      </c>
      <c r="J247" s="41">
        <f t="shared" si="5"/>
        <v>77828.139999999985</v>
      </c>
      <c r="K247" s="41">
        <f t="shared" si="5"/>
        <v>17179.580000000002</v>
      </c>
      <c r="L247" s="41">
        <f t="shared" si="5"/>
        <v>7421357.4199999999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10804465.91</v>
      </c>
      <c r="G257" s="41">
        <f t="shared" si="8"/>
        <v>4740652.1400000006</v>
      </c>
      <c r="H257" s="41">
        <f t="shared" si="8"/>
        <v>4190181.26</v>
      </c>
      <c r="I257" s="41">
        <f t="shared" si="8"/>
        <v>819430.78</v>
      </c>
      <c r="J257" s="41">
        <f t="shared" si="8"/>
        <v>211659.57</v>
      </c>
      <c r="K257" s="41">
        <f t="shared" si="8"/>
        <v>25838.02</v>
      </c>
      <c r="L257" s="41">
        <f t="shared" si="8"/>
        <v>20792227.68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141013.77000000002</v>
      </c>
      <c r="L260" s="19">
        <f>SUM(F260:K260)</f>
        <v>141013.77000000002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128560.62</v>
      </c>
      <c r="L261" s="19">
        <f>SUM(F261:K261)</f>
        <v>128560.62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23986.560000000001</v>
      </c>
      <c r="L266" s="19">
        <f t="shared" si="9"/>
        <v>23986.560000000001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293560.95</v>
      </c>
      <c r="L270" s="41">
        <f t="shared" si="9"/>
        <v>293560.95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10804465.91</v>
      </c>
      <c r="G271" s="42">
        <f t="shared" si="11"/>
        <v>4740652.1400000006</v>
      </c>
      <c r="H271" s="42">
        <f t="shared" si="11"/>
        <v>4190181.26</v>
      </c>
      <c r="I271" s="42">
        <f t="shared" si="11"/>
        <v>819430.78</v>
      </c>
      <c r="J271" s="42">
        <f t="shared" si="11"/>
        <v>211659.57</v>
      </c>
      <c r="K271" s="42">
        <f t="shared" si="11"/>
        <v>319398.97000000003</v>
      </c>
      <c r="L271" s="42">
        <f t="shared" si="11"/>
        <v>21085788.629999999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150425.75</v>
      </c>
      <c r="G276" s="18">
        <v>14664.140000000001</v>
      </c>
      <c r="H276" s="18">
        <v>14477.220000000001</v>
      </c>
      <c r="I276" s="18">
        <v>7821.2900000000009</v>
      </c>
      <c r="J276" s="18">
        <v>82637.279999999999</v>
      </c>
      <c r="K276" s="18">
        <v>14964.36</v>
      </c>
      <c r="L276" s="19">
        <f>SUM(F276:K276)</f>
        <v>284990.04000000004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75887.100000000006</v>
      </c>
      <c r="G277" s="18">
        <v>21152.17</v>
      </c>
      <c r="H277" s="18">
        <v>100902.19</v>
      </c>
      <c r="I277" s="18">
        <v>5077.3499999999995</v>
      </c>
      <c r="J277" s="18">
        <v>3081.01</v>
      </c>
      <c r="K277" s="18"/>
      <c r="L277" s="19">
        <f>SUM(F277:K277)</f>
        <v>206099.82000000004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36987.119999999995</v>
      </c>
      <c r="I281" s="18"/>
      <c r="J281" s="18"/>
      <c r="K281" s="18"/>
      <c r="L281" s="19">
        <f t="shared" ref="L281:L287" si="12">SUM(F281:K281)</f>
        <v>36987.119999999995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36071.82</v>
      </c>
      <c r="I282" s="18">
        <v>2218.25</v>
      </c>
      <c r="J282" s="18"/>
      <c r="K282" s="18"/>
      <c r="L282" s="19">
        <f t="shared" si="12"/>
        <v>38290.07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>
        <v>19950</v>
      </c>
      <c r="I288" s="18"/>
      <c r="J288" s="18"/>
      <c r="K288" s="18"/>
      <c r="L288" s="19">
        <f>SUM(F288:K288)</f>
        <v>19950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226312.85</v>
      </c>
      <c r="G290" s="42">
        <f t="shared" si="13"/>
        <v>35816.31</v>
      </c>
      <c r="H290" s="42">
        <f t="shared" si="13"/>
        <v>208388.35</v>
      </c>
      <c r="I290" s="42">
        <f t="shared" si="13"/>
        <v>15116.89</v>
      </c>
      <c r="J290" s="42">
        <f t="shared" si="13"/>
        <v>85718.29</v>
      </c>
      <c r="K290" s="42">
        <f t="shared" si="13"/>
        <v>14964.36</v>
      </c>
      <c r="L290" s="41">
        <f t="shared" si="13"/>
        <v>586317.05000000005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34223.75</v>
      </c>
      <c r="G314" s="18">
        <v>5220.3399999999992</v>
      </c>
      <c r="H314" s="18">
        <v>31558.820000000007</v>
      </c>
      <c r="I314" s="18">
        <v>11830.43</v>
      </c>
      <c r="J314" s="18">
        <v>21465.79</v>
      </c>
      <c r="K314" s="18"/>
      <c r="L314" s="19">
        <f>SUM(F314:K314)</f>
        <v>104299.13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24324</v>
      </c>
      <c r="G315" s="18">
        <v>4780.1099999999997</v>
      </c>
      <c r="H315" s="18">
        <v>28063.51</v>
      </c>
      <c r="I315" s="18">
        <v>2568.1799999999998</v>
      </c>
      <c r="J315" s="18">
        <v>1384.23</v>
      </c>
      <c r="K315" s="18"/>
      <c r="L315" s="19">
        <f>SUM(F315:K315)</f>
        <v>61120.03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1786</v>
      </c>
      <c r="G317" s="18">
        <v>384.56</v>
      </c>
      <c r="H317" s="18"/>
      <c r="I317" s="18">
        <v>3640</v>
      </c>
      <c r="J317" s="18"/>
      <c r="K317" s="18"/>
      <c r="L317" s="19">
        <f>SUM(F317:K317)</f>
        <v>5810.5599999999995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v>16617.41</v>
      </c>
      <c r="I319" s="18"/>
      <c r="J319" s="18"/>
      <c r="K319" s="18"/>
      <c r="L319" s="19">
        <f t="shared" ref="L319:L325" si="16">SUM(F319:K319)</f>
        <v>16617.41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>
        <v>16206.18</v>
      </c>
      <c r="I320" s="18">
        <v>996.62</v>
      </c>
      <c r="J320" s="18"/>
      <c r="K320" s="18"/>
      <c r="L320" s="19">
        <f t="shared" si="16"/>
        <v>17202.8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>
        <v>17356.71</v>
      </c>
      <c r="K324" s="18"/>
      <c r="L324" s="19">
        <f t="shared" si="16"/>
        <v>17356.71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60333.75</v>
      </c>
      <c r="G328" s="42">
        <f t="shared" si="17"/>
        <v>10385.009999999998</v>
      </c>
      <c r="H328" s="42">
        <f t="shared" si="17"/>
        <v>92445.920000000013</v>
      </c>
      <c r="I328" s="42">
        <f t="shared" si="17"/>
        <v>19035.23</v>
      </c>
      <c r="J328" s="42">
        <f t="shared" si="17"/>
        <v>40206.729999999996</v>
      </c>
      <c r="K328" s="42">
        <f t="shared" si="17"/>
        <v>0</v>
      </c>
      <c r="L328" s="41">
        <f t="shared" si="17"/>
        <v>222406.63999999998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286646.59999999998</v>
      </c>
      <c r="G338" s="41">
        <f t="shared" si="20"/>
        <v>46201.319999999992</v>
      </c>
      <c r="H338" s="41">
        <f t="shared" si="20"/>
        <v>300834.27</v>
      </c>
      <c r="I338" s="41">
        <f t="shared" si="20"/>
        <v>34152.119999999995</v>
      </c>
      <c r="J338" s="41">
        <f t="shared" si="20"/>
        <v>125925.01999999999</v>
      </c>
      <c r="K338" s="41">
        <f t="shared" si="20"/>
        <v>14964.36</v>
      </c>
      <c r="L338" s="41">
        <f t="shared" si="20"/>
        <v>808723.69000000006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286646.59999999998</v>
      </c>
      <c r="G352" s="41">
        <f>G338</f>
        <v>46201.319999999992</v>
      </c>
      <c r="H352" s="41">
        <f>H338</f>
        <v>300834.27</v>
      </c>
      <c r="I352" s="41">
        <f>I338</f>
        <v>34152.119999999995</v>
      </c>
      <c r="J352" s="41">
        <f>J338</f>
        <v>125925.01999999999</v>
      </c>
      <c r="K352" s="47">
        <f>K338+K351</f>
        <v>14964.36</v>
      </c>
      <c r="L352" s="41">
        <f>L338+L351</f>
        <v>808723.69000000006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276014.54000000004</v>
      </c>
      <c r="I358" s="18"/>
      <c r="J358" s="18"/>
      <c r="K358" s="18"/>
      <c r="L358" s="13">
        <f>SUM(F358:K358)</f>
        <v>276014.54000000004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135947.46000000002</v>
      </c>
      <c r="I360" s="18"/>
      <c r="J360" s="18"/>
      <c r="K360" s="18"/>
      <c r="L360" s="19">
        <f>SUM(F360:K360)</f>
        <v>135947.46000000002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411962.00000000006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411962.00000000006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3573787.2</v>
      </c>
      <c r="I379" s="18"/>
      <c r="J379" s="18"/>
      <c r="K379" s="18">
        <v>4200</v>
      </c>
      <c r="L379" s="13">
        <f t="shared" si="23"/>
        <v>3577987.2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3573787.2</v>
      </c>
      <c r="I382" s="41">
        <f t="shared" si="24"/>
        <v>0</v>
      </c>
      <c r="J382" s="47">
        <f t="shared" si="24"/>
        <v>0</v>
      </c>
      <c r="K382" s="47">
        <f t="shared" si="24"/>
        <v>4200</v>
      </c>
      <c r="L382" s="47">
        <f t="shared" si="24"/>
        <v>3577987.2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64.13</v>
      </c>
      <c r="I392" s="18"/>
      <c r="J392" s="24" t="s">
        <v>289</v>
      </c>
      <c r="K392" s="24" t="s">
        <v>289</v>
      </c>
      <c r="L392" s="56">
        <f t="shared" si="25"/>
        <v>64.13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64.13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64.13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23986.560000000001</v>
      </c>
      <c r="H396" s="18"/>
      <c r="I396" s="18"/>
      <c r="J396" s="24" t="s">
        <v>289</v>
      </c>
      <c r="K396" s="24" t="s">
        <v>289</v>
      </c>
      <c r="L396" s="56">
        <f t="shared" si="26"/>
        <v>23986.560000000001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23986.560000000001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23986.560000000001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23986.560000000001</v>
      </c>
      <c r="H408" s="47">
        <f>H393+H401+H407</f>
        <v>64.13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24050.690000000002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696486.18</v>
      </c>
      <c r="G441" s="18"/>
      <c r="H441" s="18"/>
      <c r="I441" s="56">
        <f t="shared" si="33"/>
        <v>696486.18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696486.18</v>
      </c>
      <c r="G446" s="13">
        <f>SUM(G439:G445)</f>
        <v>0</v>
      </c>
      <c r="H446" s="13">
        <f>SUM(H439:H445)</f>
        <v>0</v>
      </c>
      <c r="I446" s="13">
        <f>SUM(I439:I445)</f>
        <v>696486.18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696486.18</v>
      </c>
      <c r="G459" s="18"/>
      <c r="H459" s="18"/>
      <c r="I459" s="56">
        <f t="shared" si="34"/>
        <v>696486.18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696486.18</v>
      </c>
      <c r="G460" s="83">
        <f>SUM(G454:G459)</f>
        <v>0</v>
      </c>
      <c r="H460" s="83">
        <f>SUM(H454:H459)</f>
        <v>0</v>
      </c>
      <c r="I460" s="83">
        <f>SUM(I454:I459)</f>
        <v>696486.18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696486.18</v>
      </c>
      <c r="G461" s="42">
        <f>G452+G460</f>
        <v>0</v>
      </c>
      <c r="H461" s="42">
        <f>H452+H460</f>
        <v>0</v>
      </c>
      <c r="I461" s="42">
        <f>I452+I460</f>
        <v>696486.18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718347.04</v>
      </c>
      <c r="G465" s="18">
        <v>11.49</v>
      </c>
      <c r="H465" s="18">
        <v>181321.18</v>
      </c>
      <c r="I465" s="18">
        <v>0</v>
      </c>
      <c r="J465" s="18">
        <v>672435.49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21560227.710000001</v>
      </c>
      <c r="G468" s="18">
        <v>411801.46</v>
      </c>
      <c r="H468" s="18">
        <v>815314.93</v>
      </c>
      <c r="I468" s="18">
        <v>4092888</v>
      </c>
      <c r="J468" s="18">
        <v>24050.690000000002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21560227.710000001</v>
      </c>
      <c r="G470" s="53">
        <f>SUM(G468:G469)</f>
        <v>411801.46</v>
      </c>
      <c r="H470" s="53">
        <f>SUM(H468:H469)</f>
        <v>815314.93</v>
      </c>
      <c r="I470" s="53">
        <f>SUM(I468:I469)</f>
        <v>4092888</v>
      </c>
      <c r="J470" s="53">
        <f>SUM(J468:J469)</f>
        <v>24050.690000000002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21085788.629999999</v>
      </c>
      <c r="G472" s="18">
        <v>411962</v>
      </c>
      <c r="H472" s="18">
        <v>808723.69</v>
      </c>
      <c r="I472" s="18">
        <v>3577987.2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21085788.629999999</v>
      </c>
      <c r="G474" s="53">
        <f>SUM(G472:G473)</f>
        <v>411962</v>
      </c>
      <c r="H474" s="53">
        <f>SUM(H472:H473)</f>
        <v>808723.69</v>
      </c>
      <c r="I474" s="53">
        <f>SUM(I472:I473)</f>
        <v>3577987.2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1192786.120000001</v>
      </c>
      <c r="G476" s="53">
        <f>(G465+G470)- G474</f>
        <v>-149.04999999998836</v>
      </c>
      <c r="H476" s="53">
        <f>(H465+H470)- H474</f>
        <v>187912.42000000016</v>
      </c>
      <c r="I476" s="53">
        <f>(I465+I470)- I474</f>
        <v>514900.79999999981</v>
      </c>
      <c r="J476" s="53">
        <f>(J465+J470)- J474</f>
        <v>696486.17999999993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>
        <v>25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2012334</v>
      </c>
      <c r="G493" s="18">
        <v>4150000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2.59</v>
      </c>
      <c r="G494" s="18">
        <v>3.01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1988654.73</v>
      </c>
      <c r="G495" s="18">
        <v>0</v>
      </c>
      <c r="H495" s="18"/>
      <c r="I495" s="18"/>
      <c r="J495" s="18"/>
      <c r="K495" s="53">
        <f>SUM(F495:J495)</f>
        <v>1988654.73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75123.61</v>
      </c>
      <c r="G497" s="18">
        <v>65890.16</v>
      </c>
      <c r="H497" s="18"/>
      <c r="I497" s="18"/>
      <c r="J497" s="18"/>
      <c r="K497" s="53">
        <f t="shared" si="35"/>
        <v>141013.77000000002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1913531.12</v>
      </c>
      <c r="G498" s="204">
        <v>4084109.84</v>
      </c>
      <c r="H498" s="204"/>
      <c r="I498" s="204"/>
      <c r="J498" s="204"/>
      <c r="K498" s="205">
        <f t="shared" si="35"/>
        <v>5997640.96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405152.77</v>
      </c>
      <c r="G499" s="18">
        <v>6429198.4699999997</v>
      </c>
      <c r="H499" s="18"/>
      <c r="I499" s="18"/>
      <c r="J499" s="18"/>
      <c r="K499" s="53">
        <f t="shared" si="35"/>
        <v>6834351.2400000002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2318683.89</v>
      </c>
      <c r="G500" s="42">
        <f>SUM(G498:G499)</f>
        <v>10513308.309999999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12831992.199999999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82226.600000000006</v>
      </c>
      <c r="G501" s="204">
        <v>424015.04</v>
      </c>
      <c r="H501" s="204"/>
      <c r="I501" s="204"/>
      <c r="J501" s="204"/>
      <c r="K501" s="205">
        <f t="shared" si="35"/>
        <v>506241.64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49756.7</v>
      </c>
      <c r="G502" s="18">
        <v>218570.44</v>
      </c>
      <c r="H502" s="18"/>
      <c r="I502" s="18"/>
      <c r="J502" s="18"/>
      <c r="K502" s="53">
        <f t="shared" si="35"/>
        <v>268327.14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131983.29999999999</v>
      </c>
      <c r="G503" s="42">
        <f>SUM(G501:G502)</f>
        <v>642585.48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774568.78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1318671.7600000002</v>
      </c>
      <c r="G521" s="18">
        <v>521118.23</v>
      </c>
      <c r="H521" s="18">
        <v>330079.37</v>
      </c>
      <c r="I521" s="18">
        <v>8792.1</v>
      </c>
      <c r="J521" s="18"/>
      <c r="K521" s="18"/>
      <c r="L521" s="88">
        <f>SUM(F521:K521)</f>
        <v>2178661.4600000004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352025.8</v>
      </c>
      <c r="G523" s="18">
        <v>223225.52</v>
      </c>
      <c r="H523" s="18">
        <v>740241.04999999993</v>
      </c>
      <c r="I523" s="18">
        <v>4504.45</v>
      </c>
      <c r="J523" s="18"/>
      <c r="K523" s="18"/>
      <c r="L523" s="88">
        <f>SUM(F523:K523)</f>
        <v>1319996.8199999998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1670697.5600000003</v>
      </c>
      <c r="G524" s="108">
        <f t="shared" ref="G524:L524" si="36">SUM(G521:G523)</f>
        <v>744343.75</v>
      </c>
      <c r="H524" s="108">
        <f t="shared" si="36"/>
        <v>1070320.42</v>
      </c>
      <c r="I524" s="108">
        <f t="shared" si="36"/>
        <v>13296.55</v>
      </c>
      <c r="J524" s="108">
        <f t="shared" si="36"/>
        <v>0</v>
      </c>
      <c r="K524" s="108">
        <f t="shared" si="36"/>
        <v>0</v>
      </c>
      <c r="L524" s="89">
        <f t="shared" si="36"/>
        <v>3498658.2800000003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273738.17309999996</v>
      </c>
      <c r="G526" s="18">
        <v>109622.59769999998</v>
      </c>
      <c r="H526" s="18">
        <v>339678.33359999995</v>
      </c>
      <c r="I526" s="18">
        <v>844.13909999999998</v>
      </c>
      <c r="J526" s="18">
        <v>1517.0339999999999</v>
      </c>
      <c r="K526" s="18"/>
      <c r="L526" s="88">
        <f>SUM(F526:K526)</f>
        <v>725400.27749999985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122983.81689999999</v>
      </c>
      <c r="G528" s="18">
        <v>49250.732299999996</v>
      </c>
      <c r="H528" s="18">
        <v>152609.10639999999</v>
      </c>
      <c r="I528" s="18">
        <v>379.2509</v>
      </c>
      <c r="J528" s="18">
        <v>681.56599999999992</v>
      </c>
      <c r="K528" s="18"/>
      <c r="L528" s="88">
        <f>SUM(F528:K528)</f>
        <v>325904.47249999992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396721.98999999993</v>
      </c>
      <c r="G529" s="89">
        <f t="shared" ref="G529:L529" si="37">SUM(G526:G528)</f>
        <v>158873.32999999999</v>
      </c>
      <c r="H529" s="89">
        <f t="shared" si="37"/>
        <v>492287.43999999994</v>
      </c>
      <c r="I529" s="89">
        <f t="shared" si="37"/>
        <v>1223.3899999999999</v>
      </c>
      <c r="J529" s="89">
        <f t="shared" si="37"/>
        <v>2198.6</v>
      </c>
      <c r="K529" s="89">
        <f t="shared" si="37"/>
        <v>0</v>
      </c>
      <c r="L529" s="89">
        <f t="shared" si="37"/>
        <v>1051304.7499999998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95571.209999999992</v>
      </c>
      <c r="G531" s="18">
        <v>40966.8318</v>
      </c>
      <c r="H531" s="18">
        <v>5264.6309999999994</v>
      </c>
      <c r="I531" s="18">
        <v>163.44029999999998</v>
      </c>
      <c r="J531" s="18"/>
      <c r="K531" s="18"/>
      <c r="L531" s="88">
        <f>SUM(F531:K531)</f>
        <v>141966.11309999999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42937.79</v>
      </c>
      <c r="G533" s="18">
        <v>18405.388200000001</v>
      </c>
      <c r="H533" s="18">
        <v>2365.2689999999998</v>
      </c>
      <c r="I533" s="18">
        <v>73.429699999999997</v>
      </c>
      <c r="J533" s="18"/>
      <c r="K533" s="18"/>
      <c r="L533" s="88">
        <f>SUM(F533:K533)</f>
        <v>63781.876900000003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138509</v>
      </c>
      <c r="G534" s="89">
        <f t="shared" ref="G534:L534" si="38">SUM(G531:G533)</f>
        <v>59372.22</v>
      </c>
      <c r="H534" s="89">
        <f t="shared" si="38"/>
        <v>7629.9</v>
      </c>
      <c r="I534" s="89">
        <f t="shared" si="38"/>
        <v>236.86999999999998</v>
      </c>
      <c r="J534" s="89">
        <f t="shared" si="38"/>
        <v>0</v>
      </c>
      <c r="K534" s="89">
        <f t="shared" si="38"/>
        <v>0</v>
      </c>
      <c r="L534" s="89">
        <f t="shared" si="38"/>
        <v>205747.99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4298.8103999999994</v>
      </c>
      <c r="I536" s="18"/>
      <c r="J536" s="18"/>
      <c r="K536" s="18"/>
      <c r="L536" s="88">
        <f>SUM(F536:K536)</f>
        <v>4298.8103999999994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1931.3496</v>
      </c>
      <c r="I538" s="18"/>
      <c r="J538" s="18"/>
      <c r="K538" s="18"/>
      <c r="L538" s="88">
        <f>SUM(F538:K538)</f>
        <v>1931.3496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6230.16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6230.16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142957.96</v>
      </c>
      <c r="I541" s="18"/>
      <c r="J541" s="18"/>
      <c r="K541" s="18"/>
      <c r="L541" s="88">
        <f>SUM(F541:K541)</f>
        <v>142957.96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64227.5</v>
      </c>
      <c r="I543" s="18"/>
      <c r="J543" s="18"/>
      <c r="K543" s="18"/>
      <c r="L543" s="88">
        <f>SUM(F543:K543)</f>
        <v>64227.5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207185.46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207185.46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2205928.5500000003</v>
      </c>
      <c r="G545" s="89">
        <f t="shared" ref="G545:L545" si="41">G524+G529+G534+G539+G544</f>
        <v>962589.29999999993</v>
      </c>
      <c r="H545" s="89">
        <f t="shared" si="41"/>
        <v>1783653.3799999997</v>
      </c>
      <c r="I545" s="89">
        <f t="shared" si="41"/>
        <v>14756.81</v>
      </c>
      <c r="J545" s="89">
        <f t="shared" si="41"/>
        <v>2198.6</v>
      </c>
      <c r="K545" s="89">
        <f t="shared" si="41"/>
        <v>0</v>
      </c>
      <c r="L545" s="89">
        <f t="shared" si="41"/>
        <v>4969126.6400000006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2178661.4600000004</v>
      </c>
      <c r="G549" s="87">
        <f>L526</f>
        <v>725400.27749999985</v>
      </c>
      <c r="H549" s="87">
        <f>L531</f>
        <v>141966.11309999999</v>
      </c>
      <c r="I549" s="87">
        <f>L536</f>
        <v>4298.8103999999994</v>
      </c>
      <c r="J549" s="87">
        <f>L541</f>
        <v>142957.96</v>
      </c>
      <c r="K549" s="87">
        <f>SUM(F549:J549)</f>
        <v>3193284.6210000003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1319996.8199999998</v>
      </c>
      <c r="G551" s="87">
        <f>L528</f>
        <v>325904.47249999992</v>
      </c>
      <c r="H551" s="87">
        <f>L533</f>
        <v>63781.876900000003</v>
      </c>
      <c r="I551" s="87">
        <f>L538</f>
        <v>1931.3496</v>
      </c>
      <c r="J551" s="87">
        <f>L543</f>
        <v>64227.5</v>
      </c>
      <c r="K551" s="87">
        <f>SUM(F551:J551)</f>
        <v>1775842.0189999999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3498658.2800000003</v>
      </c>
      <c r="G552" s="89">
        <f t="shared" si="42"/>
        <v>1051304.7499999998</v>
      </c>
      <c r="H552" s="89">
        <f t="shared" si="42"/>
        <v>205747.99</v>
      </c>
      <c r="I552" s="89">
        <f t="shared" si="42"/>
        <v>6230.16</v>
      </c>
      <c r="J552" s="89">
        <f t="shared" si="42"/>
        <v>207185.46</v>
      </c>
      <c r="K552" s="89">
        <f t="shared" si="42"/>
        <v>4969126.6400000006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31016.720000000001</v>
      </c>
      <c r="I579" s="87">
        <f t="shared" si="47"/>
        <v>31016.720000000001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268195.19</v>
      </c>
      <c r="I580" s="87">
        <f t="shared" si="47"/>
        <v>268195.19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229435.51999999999</v>
      </c>
      <c r="G582" s="18"/>
      <c r="H582" s="18">
        <v>416405.86</v>
      </c>
      <c r="I582" s="87">
        <f t="shared" si="47"/>
        <v>645841.38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21603.79</v>
      </c>
      <c r="G583" s="18"/>
      <c r="H583" s="18"/>
      <c r="I583" s="87">
        <f t="shared" si="47"/>
        <v>21603.79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444520.56</v>
      </c>
      <c r="I585" s="87">
        <f t="shared" si="47"/>
        <v>444520.56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410533.57</v>
      </c>
      <c r="I591" s="18"/>
      <c r="J591" s="18">
        <v>184442.63</v>
      </c>
      <c r="K591" s="104">
        <f t="shared" ref="K591:K597" si="48">SUM(H591:J591)</f>
        <v>594976.19999999995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142957.96</v>
      </c>
      <c r="I592" s="18"/>
      <c r="J592" s="18">
        <v>64227.5</v>
      </c>
      <c r="K592" s="104">
        <f t="shared" si="48"/>
        <v>207185.46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77194.7</v>
      </c>
      <c r="K593" s="104">
        <f t="shared" si="48"/>
        <v>77194.7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4237.18</v>
      </c>
      <c r="I594" s="18"/>
      <c r="J594" s="18">
        <v>25651.33</v>
      </c>
      <c r="K594" s="104">
        <f t="shared" si="48"/>
        <v>29888.510000000002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15789.25</v>
      </c>
      <c r="I595" s="18"/>
      <c r="J595" s="18">
        <v>5745.37</v>
      </c>
      <c r="K595" s="104">
        <f t="shared" si="48"/>
        <v>21534.62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573517.96000000008</v>
      </c>
      <c r="I598" s="108">
        <f>SUM(I591:I597)</f>
        <v>0</v>
      </c>
      <c r="J598" s="108">
        <f>SUM(J591:J597)</f>
        <v>357261.53</v>
      </c>
      <c r="K598" s="108">
        <f>SUM(K591:K597)</f>
        <v>930779.48999999987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219549.74000000002</v>
      </c>
      <c r="I604" s="18"/>
      <c r="J604" s="18">
        <v>118034.84999999998</v>
      </c>
      <c r="K604" s="104">
        <f>SUM(H604:J604)</f>
        <v>337584.58999999997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219549.74000000002</v>
      </c>
      <c r="I605" s="108">
        <f>SUM(I602:I604)</f>
        <v>0</v>
      </c>
      <c r="J605" s="108">
        <f>SUM(J602:J604)</f>
        <v>118034.84999999998</v>
      </c>
      <c r="K605" s="108">
        <f>SUM(K602:K604)</f>
        <v>337584.58999999997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30712.09</v>
      </c>
      <c r="G611" s="18">
        <v>4621.1000000000004</v>
      </c>
      <c r="H611" s="18">
        <v>41187.269999999997</v>
      </c>
      <c r="I611" s="18">
        <v>161.27000000000001</v>
      </c>
      <c r="J611" s="18"/>
      <c r="K611" s="18"/>
      <c r="L611" s="88">
        <f>SUM(F611:K611)</f>
        <v>76681.73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30712.09</v>
      </c>
      <c r="G614" s="108">
        <f t="shared" si="49"/>
        <v>4621.1000000000004</v>
      </c>
      <c r="H614" s="108">
        <f t="shared" si="49"/>
        <v>41187.269999999997</v>
      </c>
      <c r="I614" s="108">
        <f t="shared" si="49"/>
        <v>161.27000000000001</v>
      </c>
      <c r="J614" s="108">
        <f t="shared" si="49"/>
        <v>0</v>
      </c>
      <c r="K614" s="108">
        <f t="shared" si="49"/>
        <v>0</v>
      </c>
      <c r="L614" s="89">
        <f t="shared" si="49"/>
        <v>76681.73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1206605.82</v>
      </c>
      <c r="H617" s="109">
        <f>SUM(F52)</f>
        <v>1206605.82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16278.92</v>
      </c>
      <c r="H618" s="109">
        <f>SUM(G52)</f>
        <v>16278.920000000002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94454.399999999994</v>
      </c>
      <c r="H619" s="109">
        <f>SUM(H52)</f>
        <v>94454.400000000023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514900.8</v>
      </c>
      <c r="H620" s="109">
        <f>SUM(I52)</f>
        <v>514900.8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696486.18</v>
      </c>
      <c r="H621" s="109">
        <f>SUM(J52)</f>
        <v>696486.18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1192786.1200000001</v>
      </c>
      <c r="H622" s="109">
        <f>F476</f>
        <v>1192786.120000001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-149.05000000000001</v>
      </c>
      <c r="H623" s="109">
        <f>G476</f>
        <v>-149.04999999998836</v>
      </c>
      <c r="I623" s="121" t="s">
        <v>102</v>
      </c>
      <c r="J623" s="109">
        <f t="shared" si="50"/>
        <v>-1.1652900866465643E-11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187912.42</v>
      </c>
      <c r="H624" s="109">
        <f>H476</f>
        <v>187912.42000000016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514900.8</v>
      </c>
      <c r="H625" s="109">
        <f>I476</f>
        <v>514900.79999999981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696486.18</v>
      </c>
      <c r="H626" s="109">
        <f>J476</f>
        <v>696486.17999999993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21560227.709999997</v>
      </c>
      <c r="H627" s="104">
        <f>SUM(F468)</f>
        <v>21560227.710000001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411801.46</v>
      </c>
      <c r="H628" s="104">
        <f>SUM(G468)</f>
        <v>411801.46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815314.92999999993</v>
      </c>
      <c r="H629" s="104">
        <f>SUM(H468)</f>
        <v>815314.93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4092888</v>
      </c>
      <c r="H630" s="104">
        <f>SUM(I468)</f>
        <v>4092888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24050.690000000002</v>
      </c>
      <c r="H631" s="104">
        <f>SUM(J468)</f>
        <v>24050.690000000002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21085788.629999999</v>
      </c>
      <c r="H632" s="104">
        <f>SUM(F472)</f>
        <v>21085788.629999999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808723.69000000006</v>
      </c>
      <c r="H633" s="104">
        <f>SUM(H472)</f>
        <v>808723.69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411962.00000000006</v>
      </c>
      <c r="H635" s="104">
        <f>SUM(G472)</f>
        <v>411962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3577987.2</v>
      </c>
      <c r="H636" s="104">
        <f>SUM(I472)</f>
        <v>3577987.2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24050.690000000002</v>
      </c>
      <c r="H637" s="164">
        <f>SUM(J468)</f>
        <v>24050.690000000002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696486.18</v>
      </c>
      <c r="H639" s="104">
        <f>SUM(F461)</f>
        <v>696486.18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696486.18</v>
      </c>
      <c r="H642" s="104">
        <f>SUM(I461)</f>
        <v>696486.18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64.13</v>
      </c>
      <c r="H644" s="104">
        <f>H408</f>
        <v>64.13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23986.560000000001</v>
      </c>
      <c r="H645" s="104">
        <f>G408</f>
        <v>23986.560000000001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24050.690000000002</v>
      </c>
      <c r="H646" s="104">
        <f>L408</f>
        <v>24050.690000000002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930779.48999999987</v>
      </c>
      <c r="H647" s="104">
        <f>L208+L226+L244</f>
        <v>930779.49000000011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337584.58999999997</v>
      </c>
      <c r="H648" s="104">
        <f>(J257+J338)-(J255+J336)</f>
        <v>337584.58999999997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573517.96000000008</v>
      </c>
      <c r="H649" s="104">
        <f>H598</f>
        <v>573517.96000000008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357261.53</v>
      </c>
      <c r="H651" s="104">
        <f>J598</f>
        <v>357261.53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23986.560000000001</v>
      </c>
      <c r="H655" s="104">
        <f>K266+K347</f>
        <v>23986.560000000001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14233201.850000001</v>
      </c>
      <c r="G660" s="19">
        <f>(L229+L309+L359)</f>
        <v>0</v>
      </c>
      <c r="H660" s="19">
        <f>(L247+L328+L360)</f>
        <v>7779711.5199999996</v>
      </c>
      <c r="I660" s="19">
        <f>SUM(F660:H660)</f>
        <v>22012913.370000001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128532.8</v>
      </c>
      <c r="G661" s="19">
        <f>(L359/IF(SUM(L358:L360)=0,1,SUM(L358:L360))*(SUM(G97:G110)))</f>
        <v>0</v>
      </c>
      <c r="H661" s="19">
        <f>(L360/IF(SUM(L358:L360)=0,1,SUM(L358:L360))*(SUM(G97:G110)))</f>
        <v>63307.200000000004</v>
      </c>
      <c r="I661" s="19">
        <f>SUM(F661:H661)</f>
        <v>191840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573517.96000000008</v>
      </c>
      <c r="G662" s="19">
        <f>(L226+L306)-(J226+J306)</f>
        <v>0</v>
      </c>
      <c r="H662" s="19">
        <f>(L244+L325)-(J244+J325)</f>
        <v>357261.53</v>
      </c>
      <c r="I662" s="19">
        <f>SUM(F662:H662)</f>
        <v>930779.49000000011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547270.78</v>
      </c>
      <c r="G663" s="199">
        <f>SUM(G575:G587)+SUM(I602:I604)+L612</f>
        <v>0</v>
      </c>
      <c r="H663" s="199">
        <f>SUM(H575:H587)+SUM(J602:J604)+L613</f>
        <v>1278173.1800000002</v>
      </c>
      <c r="I663" s="19">
        <f>SUM(F663:H663)</f>
        <v>1825443.9600000002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12983880.310000002</v>
      </c>
      <c r="G664" s="19">
        <f>G660-SUM(G661:G663)</f>
        <v>0</v>
      </c>
      <c r="H664" s="19">
        <f>H660-SUM(H661:H663)</f>
        <v>6080969.6099999994</v>
      </c>
      <c r="I664" s="19">
        <f>I660-SUM(I661:I663)</f>
        <v>19064849.920000002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800.05</v>
      </c>
      <c r="G665" s="248"/>
      <c r="H665" s="248">
        <v>360.84</v>
      </c>
      <c r="I665" s="19">
        <f>SUM(F665:H665)</f>
        <v>1160.8899999999999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16228.84</v>
      </c>
      <c r="G667" s="19" t="e">
        <f>ROUND(G664/G665,2)</f>
        <v>#DIV/0!</v>
      </c>
      <c r="H667" s="19">
        <f>ROUND(H664/H665,2)</f>
        <v>16852.259999999998</v>
      </c>
      <c r="I667" s="19">
        <f>ROUND(I664/I665,2)</f>
        <v>16422.62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-16.440000000000001</v>
      </c>
      <c r="I670" s="19">
        <f>SUM(F670:H670)</f>
        <v>-16.440000000000001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16228.84</v>
      </c>
      <c r="G672" s="19" t="e">
        <f>ROUND((G664+G669)/(G665+G670),2)</f>
        <v>#DIV/0!</v>
      </c>
      <c r="H672" s="19">
        <f>ROUND((H664+H669)/(H665+H670),2)</f>
        <v>17656.71</v>
      </c>
      <c r="I672" s="19">
        <f>ROUND((I664+I669)/(I665+I670),2)</f>
        <v>16658.53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9" sqref="B39: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Mascoma Valley - template fix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5946982.8300000001</v>
      </c>
      <c r="C9" s="229">
        <f>'DOE25'!G197+'DOE25'!G215+'DOE25'!G233+'DOE25'!G276+'DOE25'!G295+'DOE25'!G314</f>
        <v>2600403.12</v>
      </c>
    </row>
    <row r="10" spans="1:3" x14ac:dyDescent="0.2">
      <c r="A10" t="s">
        <v>779</v>
      </c>
      <c r="B10" s="240">
        <v>5197456.5000000009</v>
      </c>
      <c r="C10" s="240">
        <v>2257629.7300000004</v>
      </c>
    </row>
    <row r="11" spans="1:3" x14ac:dyDescent="0.2">
      <c r="A11" t="s">
        <v>780</v>
      </c>
      <c r="B11" s="240">
        <v>400426.46</v>
      </c>
      <c r="C11" s="240">
        <v>132603.48999999996</v>
      </c>
    </row>
    <row r="12" spans="1:3" x14ac:dyDescent="0.2">
      <c r="A12" t="s">
        <v>781</v>
      </c>
      <c r="B12" s="240">
        <v>349099.87</v>
      </c>
      <c r="C12" s="240">
        <v>210169.90000000002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5946982.830000001</v>
      </c>
      <c r="C13" s="231">
        <f>SUM(C10:C12)</f>
        <v>2600403.12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2306139.65</v>
      </c>
      <c r="C18" s="229">
        <f>'DOE25'!G198+'DOE25'!G216+'DOE25'!G234+'DOE25'!G277+'DOE25'!G296+'DOE25'!G315</f>
        <v>988458.5</v>
      </c>
    </row>
    <row r="19" spans="1:3" x14ac:dyDescent="0.2">
      <c r="A19" t="s">
        <v>779</v>
      </c>
      <c r="B19" s="240">
        <v>1025463.99</v>
      </c>
      <c r="C19" s="240">
        <v>374508.56</v>
      </c>
    </row>
    <row r="20" spans="1:3" x14ac:dyDescent="0.2">
      <c r="A20" t="s">
        <v>780</v>
      </c>
      <c r="B20" s="240">
        <v>1090572.2800000003</v>
      </c>
      <c r="C20" s="240">
        <v>527802.79</v>
      </c>
    </row>
    <row r="21" spans="1:3" x14ac:dyDescent="0.2">
      <c r="A21" t="s">
        <v>781</v>
      </c>
      <c r="B21" s="240">
        <v>190103.37999999998</v>
      </c>
      <c r="C21" s="240">
        <v>86147.15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2306139.6500000004</v>
      </c>
      <c r="C22" s="231">
        <f>SUM(C19:C21)</f>
        <v>988458.50000000012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91840</v>
      </c>
      <c r="C36" s="235">
        <f>'DOE25'!G200+'DOE25'!G218+'DOE25'!G236+'DOE25'!G279+'DOE25'!G298+'DOE25'!G317</f>
        <v>11313.58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91840</v>
      </c>
      <c r="C39" s="240">
        <v>11313.58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91840</v>
      </c>
      <c r="C40" s="231">
        <f>SUM(C37:C39)</f>
        <v>11313.58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Mascoma Valley - template fix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13758579.84</v>
      </c>
      <c r="D5" s="20">
        <f>SUM('DOE25'!L197:L200)+SUM('DOE25'!L215:L218)+SUM('DOE25'!L233:L236)-F5-G5</f>
        <v>13589990.4</v>
      </c>
      <c r="E5" s="243"/>
      <c r="F5" s="255">
        <f>SUM('DOE25'!J197:J200)+SUM('DOE25'!J215:J218)+SUM('DOE25'!J233:J236)</f>
        <v>149228.02000000002</v>
      </c>
      <c r="G5" s="53">
        <f>SUM('DOE25'!K197:K200)+SUM('DOE25'!K215:K218)+SUM('DOE25'!K233:K236)</f>
        <v>19361.419999999998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1361445.7</v>
      </c>
      <c r="D6" s="20">
        <f>'DOE25'!L202+'DOE25'!L220+'DOE25'!L238-F6-G6</f>
        <v>1359840.7</v>
      </c>
      <c r="E6" s="243"/>
      <c r="F6" s="255">
        <f>'DOE25'!J202+'DOE25'!J220+'DOE25'!J238</f>
        <v>1485</v>
      </c>
      <c r="G6" s="53">
        <f>'DOE25'!K202+'DOE25'!K220+'DOE25'!K238</f>
        <v>120</v>
      </c>
      <c r="H6" s="259"/>
    </row>
    <row r="7" spans="1:9" x14ac:dyDescent="0.2">
      <c r="A7" s="32">
        <v>2200</v>
      </c>
      <c r="B7" t="s">
        <v>834</v>
      </c>
      <c r="C7" s="245">
        <f t="shared" si="0"/>
        <v>487710.73</v>
      </c>
      <c r="D7" s="20">
        <f>'DOE25'!L203+'DOE25'!L221+'DOE25'!L239-F7-G7</f>
        <v>485971.26</v>
      </c>
      <c r="E7" s="243"/>
      <c r="F7" s="255">
        <f>'DOE25'!J203+'DOE25'!J221+'DOE25'!J239</f>
        <v>1739.47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967762.36999999965</v>
      </c>
      <c r="D8" s="243"/>
      <c r="E8" s="20">
        <f>'DOE25'!L204+'DOE25'!L222+'DOE25'!L240-F8-G8-D9-D11</f>
        <v>958922.14999999967</v>
      </c>
      <c r="F8" s="255">
        <f>'DOE25'!J204+'DOE25'!J222+'DOE25'!J240</f>
        <v>2483.62</v>
      </c>
      <c r="G8" s="53">
        <f>'DOE25'!K204+'DOE25'!K222+'DOE25'!K240</f>
        <v>6356.6</v>
      </c>
      <c r="H8" s="259"/>
    </row>
    <row r="9" spans="1:9" x14ac:dyDescent="0.2">
      <c r="A9" s="32">
        <v>2310</v>
      </c>
      <c r="B9" t="s">
        <v>818</v>
      </c>
      <c r="C9" s="245">
        <f t="shared" si="0"/>
        <v>35702.76</v>
      </c>
      <c r="D9" s="244">
        <v>35702.76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23800</v>
      </c>
      <c r="D10" s="243"/>
      <c r="E10" s="244">
        <v>23800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226692.72</v>
      </c>
      <c r="D11" s="244">
        <v>226692.72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1287350.02</v>
      </c>
      <c r="D12" s="20">
        <f>'DOE25'!L205+'DOE25'!L223+'DOE25'!L241-F12-G12</f>
        <v>1287350.02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1730134.6300000001</v>
      </c>
      <c r="D14" s="20">
        <f>'DOE25'!L207+'DOE25'!L225+'DOE25'!L243-F14-G14</f>
        <v>1673411.1700000002</v>
      </c>
      <c r="E14" s="243"/>
      <c r="F14" s="255">
        <f>'DOE25'!J207+'DOE25'!J225+'DOE25'!J243</f>
        <v>56723.46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930779.49000000011</v>
      </c>
      <c r="D15" s="20">
        <f>'DOE25'!L208+'DOE25'!L226+'DOE25'!L244-F15-G15</f>
        <v>930779.49000000011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6069.42</v>
      </c>
      <c r="D16" s="243"/>
      <c r="E16" s="20">
        <f>'DOE25'!L209+'DOE25'!L227+'DOE25'!L245-F16-G16</f>
        <v>6069.42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269574.39</v>
      </c>
      <c r="D25" s="243"/>
      <c r="E25" s="243"/>
      <c r="F25" s="258"/>
      <c r="G25" s="256"/>
      <c r="H25" s="257">
        <f>'DOE25'!L260+'DOE25'!L261+'DOE25'!L341+'DOE25'!L342</f>
        <v>269574.39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411962.00000000006</v>
      </c>
      <c r="D29" s="20">
        <f>'DOE25'!L358+'DOE25'!L359+'DOE25'!L360-'DOE25'!I367-F29-G29</f>
        <v>411962.00000000006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808723.69000000006</v>
      </c>
      <c r="D31" s="20">
        <f>'DOE25'!L290+'DOE25'!L309+'DOE25'!L328+'DOE25'!L333+'DOE25'!L334+'DOE25'!L335-F31-G31</f>
        <v>667834.31000000006</v>
      </c>
      <c r="E31" s="243"/>
      <c r="F31" s="255">
        <f>'DOE25'!J290+'DOE25'!J309+'DOE25'!J328+'DOE25'!J333+'DOE25'!J334+'DOE25'!J335</f>
        <v>125925.01999999999</v>
      </c>
      <c r="G31" s="53">
        <f>'DOE25'!K290+'DOE25'!K309+'DOE25'!K328+'DOE25'!K333+'DOE25'!K334+'DOE25'!K335</f>
        <v>14964.36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20669534.829999998</v>
      </c>
      <c r="E33" s="246">
        <f>SUM(E5:E31)</f>
        <v>988791.56999999972</v>
      </c>
      <c r="F33" s="246">
        <f>SUM(F5:F31)</f>
        <v>337584.58999999997</v>
      </c>
      <c r="G33" s="246">
        <f>SUM(G5:G31)</f>
        <v>40802.379999999997</v>
      </c>
      <c r="H33" s="246">
        <f>SUM(H5:H31)</f>
        <v>269574.39</v>
      </c>
    </row>
    <row r="35" spans="2:8" ht="12" thickBot="1" x14ac:dyDescent="0.25">
      <c r="B35" s="253" t="s">
        <v>847</v>
      </c>
      <c r="D35" s="254">
        <f>E33</f>
        <v>988791.56999999972</v>
      </c>
      <c r="E35" s="249"/>
    </row>
    <row r="36" spans="2:8" ht="12" thickTop="1" x14ac:dyDescent="0.2">
      <c r="B36" t="s">
        <v>815</v>
      </c>
      <c r="D36" s="20">
        <f>D33</f>
        <v>20669534.829999998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3" sqref="A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Mascoma Valley - template fix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1281980.81</v>
      </c>
      <c r="D8" s="95">
        <f>'DOE25'!G9</f>
        <v>0</v>
      </c>
      <c r="E8" s="95">
        <f>'DOE25'!H9</f>
        <v>0</v>
      </c>
      <c r="F8" s="95">
        <f>'DOE25'!I9</f>
        <v>514900.8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-84684.33</v>
      </c>
      <c r="D11" s="95">
        <f>'DOE25'!G12</f>
        <v>10275.18</v>
      </c>
      <c r="E11" s="95">
        <f>'DOE25'!H12</f>
        <v>0</v>
      </c>
      <c r="F11" s="95">
        <f>'DOE25'!I12</f>
        <v>0</v>
      </c>
      <c r="G11" s="95">
        <f>'DOE25'!J12</f>
        <v>696486.18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91244.4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9309.34</v>
      </c>
      <c r="D13" s="95">
        <f>'DOE25'!G14</f>
        <v>6003.74</v>
      </c>
      <c r="E13" s="95">
        <f>'DOE25'!H14</f>
        <v>3210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1206605.82</v>
      </c>
      <c r="D18" s="41">
        <f>SUM(D8:D17)</f>
        <v>16278.92</v>
      </c>
      <c r="E18" s="41">
        <f>SUM(E8:E17)</f>
        <v>94454.399999999994</v>
      </c>
      <c r="F18" s="41">
        <f>SUM(F8:F17)</f>
        <v>514900.8</v>
      </c>
      <c r="G18" s="41">
        <f>SUM(G8:G17)</f>
        <v>696486.18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8773.69</v>
      </c>
      <c r="E21" s="95">
        <f>'DOE25'!H22</f>
        <v>-93458.01999999999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9585.94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4233.76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7654.28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13819.7</v>
      </c>
      <c r="D31" s="41">
        <f>SUM(D21:D30)</f>
        <v>16427.97</v>
      </c>
      <c r="E31" s="41">
        <f>SUM(E21:E30)</f>
        <v>-93458.01999999999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85287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18278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696486.18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-149.05000000000001</v>
      </c>
      <c r="E48" s="95">
        <f>'DOE25'!H49</f>
        <v>187912.42</v>
      </c>
      <c r="F48" s="95">
        <f>'DOE25'!I49</f>
        <v>514900.8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964221.12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1192786.1200000001</v>
      </c>
      <c r="D50" s="41">
        <f>SUM(D34:D49)</f>
        <v>-149.05000000000001</v>
      </c>
      <c r="E50" s="41">
        <f>SUM(E34:E49)</f>
        <v>187912.42</v>
      </c>
      <c r="F50" s="41">
        <f>SUM(F34:F49)</f>
        <v>514900.8</v>
      </c>
      <c r="G50" s="41">
        <f>SUM(G34:G49)</f>
        <v>696486.18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1206605.82</v>
      </c>
      <c r="D51" s="41">
        <f>D50+D31</f>
        <v>16278.920000000002</v>
      </c>
      <c r="E51" s="41">
        <f>E50+E31</f>
        <v>94454.400000000023</v>
      </c>
      <c r="F51" s="41">
        <f>F50+F31</f>
        <v>514900.8</v>
      </c>
      <c r="G51" s="41">
        <f>G50+G31</f>
        <v>696486.18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14435461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98830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1345.06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64.13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191840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171373.14</v>
      </c>
      <c r="D61" s="95">
        <f>SUM('DOE25'!G98:G110)</f>
        <v>0</v>
      </c>
      <c r="E61" s="95">
        <f>SUM('DOE25'!H98:H110)</f>
        <v>119273.42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172718.2</v>
      </c>
      <c r="D62" s="130">
        <f>SUM(D57:D61)</f>
        <v>191840</v>
      </c>
      <c r="E62" s="130">
        <f>SUM(E57:E61)</f>
        <v>218103.41999999998</v>
      </c>
      <c r="F62" s="130">
        <f>SUM(F57:F61)</f>
        <v>0</v>
      </c>
      <c r="G62" s="130">
        <f>SUM(G57:G61)</f>
        <v>64.13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14608179.199999999</v>
      </c>
      <c r="D63" s="22">
        <f>D56+D62</f>
        <v>191840</v>
      </c>
      <c r="E63" s="22">
        <f>E56+E62</f>
        <v>218103.41999999998</v>
      </c>
      <c r="F63" s="22">
        <f>F56+F62</f>
        <v>0</v>
      </c>
      <c r="G63" s="22">
        <f>G56+G62</f>
        <v>64.13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3917272.57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2621967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6539239.5700000003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146397.49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132551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5519.51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278948.49</v>
      </c>
      <c r="D78" s="130">
        <f>SUM(D72:D77)</f>
        <v>5519.51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6818188.0600000005</v>
      </c>
      <c r="D81" s="130">
        <f>SUM(D79:D80)+D78+D70</f>
        <v>5519.51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131015.55</v>
      </c>
      <c r="D88" s="95">
        <f>SUM('DOE25'!G153:G161)</f>
        <v>214441.95</v>
      </c>
      <c r="E88" s="95">
        <f>SUM('DOE25'!H153:H161)</f>
        <v>597211.51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2844.9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133860.45000000001</v>
      </c>
      <c r="D91" s="131">
        <f>SUM(D85:D90)</f>
        <v>214441.95</v>
      </c>
      <c r="E91" s="131">
        <f>SUM(E85:E90)</f>
        <v>597211.51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23986.560000000001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4092888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4092888</v>
      </c>
      <c r="G103" s="86">
        <f>SUM(G93:G102)</f>
        <v>23986.560000000001</v>
      </c>
    </row>
    <row r="104" spans="1:7" ht="12.75" thickTop="1" thickBot="1" x14ac:dyDescent="0.25">
      <c r="A104" s="33" t="s">
        <v>765</v>
      </c>
      <c r="C104" s="86">
        <f>C63+C81+C91+C103</f>
        <v>21560227.709999997</v>
      </c>
      <c r="D104" s="86">
        <f>D63+D81+D91+D103</f>
        <v>411801.46</v>
      </c>
      <c r="E104" s="86">
        <f>E63+E81+E91+E103</f>
        <v>815314.92999999993</v>
      </c>
      <c r="F104" s="86">
        <f>F63+F81+F91+F103</f>
        <v>4092888</v>
      </c>
      <c r="G104" s="86">
        <f>G63+G81+G103</f>
        <v>24050.690000000002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8839787.5299999993</v>
      </c>
      <c r="D109" s="24" t="s">
        <v>289</v>
      </c>
      <c r="E109" s="95">
        <f>('DOE25'!L276)+('DOE25'!L295)+('DOE25'!L314)</f>
        <v>389289.17000000004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4268772.04</v>
      </c>
      <c r="D110" s="24" t="s">
        <v>289</v>
      </c>
      <c r="E110" s="95">
        <f>('DOE25'!L277)+('DOE25'!L296)+('DOE25'!L315)</f>
        <v>267219.85000000003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444520.56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205499.70999999996</v>
      </c>
      <c r="D112" s="24" t="s">
        <v>289</v>
      </c>
      <c r="E112" s="95">
        <f>+('DOE25'!L279)+('DOE25'!L298)+('DOE25'!L317)</f>
        <v>5810.5599999999995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13758579.84</v>
      </c>
      <c r="D115" s="86">
        <f>SUM(D109:D114)</f>
        <v>0</v>
      </c>
      <c r="E115" s="86">
        <f>SUM(E109:E114)</f>
        <v>662319.58000000007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1361445.7</v>
      </c>
      <c r="D118" s="24" t="s">
        <v>289</v>
      </c>
      <c r="E118" s="95">
        <f>+('DOE25'!L281)+('DOE25'!L300)+('DOE25'!L319)</f>
        <v>53604.53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487710.73</v>
      </c>
      <c r="D119" s="24" t="s">
        <v>289</v>
      </c>
      <c r="E119" s="95">
        <f>+('DOE25'!L282)+('DOE25'!L301)+('DOE25'!L320)</f>
        <v>55492.869999999995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1230157.8499999999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1287350.02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1730134.6300000001</v>
      </c>
      <c r="D123" s="24" t="s">
        <v>289</v>
      </c>
      <c r="E123" s="95">
        <f>+('DOE25'!L286)+('DOE25'!L305)+('DOE25'!L324)</f>
        <v>17356.71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930779.49000000011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6069.42</v>
      </c>
      <c r="D125" s="24" t="s">
        <v>289</v>
      </c>
      <c r="E125" s="95">
        <f>+('DOE25'!L288)+('DOE25'!L307)+('DOE25'!L326)</f>
        <v>19950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411962.00000000006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7033647.8399999999</v>
      </c>
      <c r="D128" s="86">
        <f>SUM(D118:D127)</f>
        <v>411962.00000000006</v>
      </c>
      <c r="E128" s="86">
        <f>SUM(E118:E127)</f>
        <v>146404.10999999999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3577987.2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141013.77000000002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128560.62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64.13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23986.560000000001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-64.130000000001019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293560.95</v>
      </c>
      <c r="D144" s="141">
        <f>SUM(D130:D143)</f>
        <v>0</v>
      </c>
      <c r="E144" s="141">
        <f>SUM(E130:E143)</f>
        <v>0</v>
      </c>
      <c r="F144" s="141">
        <f>SUM(F130:F143)</f>
        <v>3577987.2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21085788.629999999</v>
      </c>
      <c r="D145" s="86">
        <f>(D115+D128+D144)</f>
        <v>411962.00000000006</v>
      </c>
      <c r="E145" s="86">
        <f>(E115+E128+E144)</f>
        <v>808723.69000000006</v>
      </c>
      <c r="F145" s="86">
        <f>(F115+F128+F144)</f>
        <v>3577987.2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25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2012334</v>
      </c>
      <c r="C154" s="137">
        <f>'DOE25'!G493</f>
        <v>4150000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2.59</v>
      </c>
      <c r="C155" s="137">
        <f>'DOE25'!G494</f>
        <v>3.01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1988654.73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1988654.73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75123.61</v>
      </c>
      <c r="C158" s="137">
        <f>'DOE25'!G497</f>
        <v>65890.16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141013.77000000002</v>
      </c>
    </row>
    <row r="159" spans="1:9" x14ac:dyDescent="0.2">
      <c r="A159" s="22" t="s">
        <v>35</v>
      </c>
      <c r="B159" s="137">
        <f>'DOE25'!F498</f>
        <v>1913531.12</v>
      </c>
      <c r="C159" s="137">
        <f>'DOE25'!G498</f>
        <v>4084109.84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5997640.96</v>
      </c>
    </row>
    <row r="160" spans="1:9" x14ac:dyDescent="0.2">
      <c r="A160" s="22" t="s">
        <v>36</v>
      </c>
      <c r="B160" s="137">
        <f>'DOE25'!F499</f>
        <v>405152.77</v>
      </c>
      <c r="C160" s="137">
        <f>'DOE25'!G499</f>
        <v>6429198.4699999997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6834351.2400000002</v>
      </c>
    </row>
    <row r="161" spans="1:7" x14ac:dyDescent="0.2">
      <c r="A161" s="22" t="s">
        <v>37</v>
      </c>
      <c r="B161" s="137">
        <f>'DOE25'!F500</f>
        <v>2318683.89</v>
      </c>
      <c r="C161" s="137">
        <f>'DOE25'!G500</f>
        <v>10513308.309999999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12831992.199999999</v>
      </c>
    </row>
    <row r="162" spans="1:7" x14ac:dyDescent="0.2">
      <c r="A162" s="22" t="s">
        <v>38</v>
      </c>
      <c r="B162" s="137">
        <f>'DOE25'!F501</f>
        <v>82226.600000000006</v>
      </c>
      <c r="C162" s="137">
        <f>'DOE25'!G501</f>
        <v>424015.04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506241.64</v>
      </c>
    </row>
    <row r="163" spans="1:7" x14ac:dyDescent="0.2">
      <c r="A163" s="22" t="s">
        <v>39</v>
      </c>
      <c r="B163" s="137">
        <f>'DOE25'!F502</f>
        <v>49756.7</v>
      </c>
      <c r="C163" s="137">
        <f>'DOE25'!G502</f>
        <v>218570.44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268327.14</v>
      </c>
    </row>
    <row r="164" spans="1:7" x14ac:dyDescent="0.2">
      <c r="A164" s="22" t="s">
        <v>246</v>
      </c>
      <c r="B164" s="137">
        <f>'DOE25'!F503</f>
        <v>131983.29999999999</v>
      </c>
      <c r="C164" s="137">
        <f>'DOE25'!G503</f>
        <v>642585.48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774568.78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Mascoma Valley - template fix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16229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17657</v>
      </c>
    </row>
    <row r="7" spans="1:4" x14ac:dyDescent="0.2">
      <c r="B7" t="s">
        <v>705</v>
      </c>
      <c r="C7" s="179">
        <f>IF('DOE25'!I665+'DOE25'!I670=0,0,ROUND('DOE25'!I672,0))</f>
        <v>16659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9229077</v>
      </c>
      <c r="D10" s="182">
        <f>ROUND((C10/$C$28)*100,1)</f>
        <v>42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4535992</v>
      </c>
      <c r="D11" s="182">
        <f>ROUND((C11/$C$28)*100,1)</f>
        <v>20.7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444521</v>
      </c>
      <c r="D12" s="182">
        <f>ROUND((C12/$C$28)*100,1)</f>
        <v>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211310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1415050</v>
      </c>
      <c r="D15" s="182">
        <f t="shared" ref="D15:D27" si="0">ROUND((C15/$C$28)*100,1)</f>
        <v>6.4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543204</v>
      </c>
      <c r="D16" s="182">
        <f t="shared" si="0"/>
        <v>2.5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1256177</v>
      </c>
      <c r="D17" s="182">
        <f t="shared" si="0"/>
        <v>5.7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1287350</v>
      </c>
      <c r="D18" s="182">
        <f t="shared" si="0"/>
        <v>5.9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1747491</v>
      </c>
      <c r="D20" s="182">
        <f t="shared" si="0"/>
        <v>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930779</v>
      </c>
      <c r="D21" s="182">
        <f t="shared" si="0"/>
        <v>4.2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128561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220122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21949634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3577987</v>
      </c>
    </row>
    <row r="30" spans="1:4" x14ac:dyDescent="0.2">
      <c r="B30" s="187" t="s">
        <v>729</v>
      </c>
      <c r="C30" s="180">
        <f>SUM(C28:C29)</f>
        <v>25527621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141014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14435461</v>
      </c>
      <c r="D35" s="182">
        <f t="shared" ref="D35:D40" si="1">ROUND((C35/$C$41)*100,1)</f>
        <v>54.1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390885.75</v>
      </c>
      <c r="D36" s="182">
        <f t="shared" si="1"/>
        <v>1.5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6539240</v>
      </c>
      <c r="D37" s="182">
        <f t="shared" si="1"/>
        <v>24.5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284468</v>
      </c>
      <c r="D38" s="182">
        <f t="shared" si="1"/>
        <v>1.1000000000000001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945514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4092888</v>
      </c>
      <c r="D40" s="182">
        <f t="shared" si="1"/>
        <v>15.3</v>
      </c>
    </row>
    <row r="41" spans="1:4" x14ac:dyDescent="0.2">
      <c r="B41" s="187" t="s">
        <v>736</v>
      </c>
      <c r="C41" s="180">
        <f>SUM(C35:C40)</f>
        <v>26688456.75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6" sqref="A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Mascoma Valley - template fix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24</v>
      </c>
      <c r="C4" s="285" t="s">
        <v>912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913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2015-09-03T16:45:28Z</cp:lastPrinted>
  <dcterms:created xsi:type="dcterms:W3CDTF">1997-12-04T19:04:30Z</dcterms:created>
  <dcterms:modified xsi:type="dcterms:W3CDTF">2015-11-30T13:29:10Z</dcterms:modified>
</cp:coreProperties>
</file>