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H579" i="1"/>
  <c r="G579" i="1"/>
  <c r="F579" i="1"/>
  <c r="F527" i="1"/>
  <c r="F526" i="1"/>
  <c r="H528" i="1"/>
  <c r="H527" i="1"/>
  <c r="H529" i="1" s="1"/>
  <c r="H538" i="1"/>
  <c r="H537" i="1"/>
  <c r="H536" i="1"/>
  <c r="H533" i="1"/>
  <c r="H534" i="1" s="1"/>
  <c r="H532" i="1"/>
  <c r="H531" i="1"/>
  <c r="F533" i="1"/>
  <c r="F532" i="1"/>
  <c r="F531" i="1"/>
  <c r="J523" i="1"/>
  <c r="J522" i="1"/>
  <c r="I523" i="1"/>
  <c r="I522" i="1"/>
  <c r="I521" i="1"/>
  <c r="H523" i="1"/>
  <c r="H522" i="1"/>
  <c r="H521" i="1"/>
  <c r="F523" i="1"/>
  <c r="F522" i="1"/>
  <c r="F521" i="1"/>
  <c r="F524" i="1" s="1"/>
  <c r="H604" i="1"/>
  <c r="J604" i="1"/>
  <c r="I604" i="1"/>
  <c r="J602" i="1"/>
  <c r="I602" i="1"/>
  <c r="H602" i="1"/>
  <c r="J591" i="1"/>
  <c r="I591" i="1"/>
  <c r="K591" i="1" s="1"/>
  <c r="H591" i="1"/>
  <c r="J597" i="1"/>
  <c r="I597" i="1"/>
  <c r="H597" i="1"/>
  <c r="J595" i="1"/>
  <c r="I595" i="1"/>
  <c r="H595" i="1"/>
  <c r="J593" i="1"/>
  <c r="H30" i="1"/>
  <c r="H12" i="1"/>
  <c r="H14" i="1"/>
  <c r="J320" i="1"/>
  <c r="L320" i="1" s="1"/>
  <c r="J301" i="1"/>
  <c r="J282" i="1"/>
  <c r="I320" i="1"/>
  <c r="I301" i="1"/>
  <c r="I282" i="1"/>
  <c r="H320" i="1"/>
  <c r="H301" i="1"/>
  <c r="H282" i="1"/>
  <c r="L282" i="1" s="1"/>
  <c r="I335" i="1"/>
  <c r="H315" i="1"/>
  <c r="H296" i="1"/>
  <c r="H277" i="1"/>
  <c r="I314" i="1"/>
  <c r="F276" i="1"/>
  <c r="I276" i="1"/>
  <c r="J315" i="1"/>
  <c r="J328" i="1" s="1"/>
  <c r="I315" i="1"/>
  <c r="I296" i="1"/>
  <c r="I277" i="1"/>
  <c r="F315" i="1"/>
  <c r="F296" i="1"/>
  <c r="F277" i="1"/>
  <c r="J314" i="1"/>
  <c r="J295" i="1"/>
  <c r="J309" i="1" s="1"/>
  <c r="F31" i="13" s="1"/>
  <c r="J276" i="1"/>
  <c r="I295" i="1"/>
  <c r="H314" i="1"/>
  <c r="H295" i="1"/>
  <c r="H276" i="1"/>
  <c r="F314" i="1"/>
  <c r="F295" i="1"/>
  <c r="F335" i="1"/>
  <c r="F279" i="1"/>
  <c r="H13" i="1"/>
  <c r="F469" i="1"/>
  <c r="F28" i="1"/>
  <c r="C27" i="2" s="1"/>
  <c r="C31" i="2" s="1"/>
  <c r="F14" i="1"/>
  <c r="F10" i="1"/>
  <c r="G40" i="1"/>
  <c r="I360" i="1"/>
  <c r="H360" i="1"/>
  <c r="H359" i="1"/>
  <c r="H358" i="1"/>
  <c r="F360" i="1"/>
  <c r="F362" i="1" s="1"/>
  <c r="F359" i="1"/>
  <c r="I359" i="1"/>
  <c r="J358" i="1"/>
  <c r="I358" i="1"/>
  <c r="F358" i="1"/>
  <c r="G158" i="1"/>
  <c r="G97" i="1"/>
  <c r="F96" i="1"/>
  <c r="F57" i="1"/>
  <c r="F244" i="1"/>
  <c r="F226" i="1"/>
  <c r="F208" i="1"/>
  <c r="L208" i="1" s="1"/>
  <c r="D15" i="13" s="1"/>
  <c r="C15" i="13" s="1"/>
  <c r="I243" i="1"/>
  <c r="I225" i="1"/>
  <c r="I207" i="1"/>
  <c r="H243" i="1"/>
  <c r="H225" i="1"/>
  <c r="H207" i="1"/>
  <c r="F243" i="1"/>
  <c r="F225" i="1"/>
  <c r="F207" i="1"/>
  <c r="I205" i="1"/>
  <c r="H240" i="1"/>
  <c r="H222" i="1"/>
  <c r="L222" i="1" s="1"/>
  <c r="H204" i="1"/>
  <c r="J239" i="1"/>
  <c r="I239" i="1"/>
  <c r="I221" i="1"/>
  <c r="I229" i="1" s="1"/>
  <c r="I203" i="1"/>
  <c r="H203" i="1"/>
  <c r="F239" i="1"/>
  <c r="F221" i="1"/>
  <c r="F203" i="1"/>
  <c r="K220" i="1"/>
  <c r="J220" i="1"/>
  <c r="I238" i="1"/>
  <c r="L238" i="1" s="1"/>
  <c r="I220" i="1"/>
  <c r="I202" i="1"/>
  <c r="H238" i="1"/>
  <c r="H220" i="1"/>
  <c r="L220" i="1" s="1"/>
  <c r="H202" i="1"/>
  <c r="F238" i="1"/>
  <c r="F220" i="1"/>
  <c r="F202" i="1"/>
  <c r="L202" i="1" s="1"/>
  <c r="K236" i="1"/>
  <c r="J234" i="1"/>
  <c r="J216" i="1"/>
  <c r="I234" i="1"/>
  <c r="I216" i="1"/>
  <c r="I198" i="1"/>
  <c r="H234" i="1"/>
  <c r="H216" i="1"/>
  <c r="L216" i="1" s="1"/>
  <c r="H198" i="1"/>
  <c r="F234" i="1"/>
  <c r="F216" i="1"/>
  <c r="F198" i="1"/>
  <c r="I233" i="1"/>
  <c r="I215" i="1"/>
  <c r="I197" i="1"/>
  <c r="F233" i="1"/>
  <c r="F247" i="1" s="1"/>
  <c r="F215" i="1"/>
  <c r="F197" i="1"/>
  <c r="C45" i="2"/>
  <c r="G51" i="1"/>
  <c r="G623" i="1" s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/>
  <c r="I458" i="1"/>
  <c r="J39" i="1" s="1"/>
  <c r="G38" i="2" s="1"/>
  <c r="C68" i="2"/>
  <c r="B2" i="13"/>
  <c r="F8" i="13"/>
  <c r="G8" i="13"/>
  <c r="L204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9" i="1"/>
  <c r="L200" i="1"/>
  <c r="L215" i="1"/>
  <c r="L217" i="1"/>
  <c r="L218" i="1"/>
  <c r="L235" i="1"/>
  <c r="L236" i="1"/>
  <c r="F6" i="13"/>
  <c r="G6" i="13"/>
  <c r="F7" i="13"/>
  <c r="G7" i="13"/>
  <c r="L203" i="1"/>
  <c r="L239" i="1"/>
  <c r="F12" i="13"/>
  <c r="G12" i="13"/>
  <c r="L205" i="1"/>
  <c r="L223" i="1"/>
  <c r="L241" i="1"/>
  <c r="F14" i="13"/>
  <c r="G14" i="13"/>
  <c r="L207" i="1"/>
  <c r="L225" i="1"/>
  <c r="F15" i="13"/>
  <c r="G15" i="13"/>
  <c r="L226" i="1"/>
  <c r="G650" i="1" s="1"/>
  <c r="L244" i="1"/>
  <c r="G651" i="1"/>
  <c r="F17" i="13"/>
  <c r="G17" i="13"/>
  <c r="L251" i="1"/>
  <c r="D17" i="13"/>
  <c r="C17" i="13" s="1"/>
  <c r="F18" i="13"/>
  <c r="G18" i="13"/>
  <c r="L252" i="1"/>
  <c r="C114" i="2" s="1"/>
  <c r="F19" i="13"/>
  <c r="G19" i="13"/>
  <c r="L253" i="1"/>
  <c r="F29" i="13"/>
  <c r="G29" i="13"/>
  <c r="L359" i="1"/>
  <c r="I367" i="1"/>
  <c r="J290" i="1"/>
  <c r="K290" i="1"/>
  <c r="K309" i="1"/>
  <c r="K328" i="1"/>
  <c r="L276" i="1"/>
  <c r="L278" i="1"/>
  <c r="L279" i="1"/>
  <c r="L281" i="1"/>
  <c r="L283" i="1"/>
  <c r="L284" i="1"/>
  <c r="L285" i="1"/>
  <c r="E122" i="2" s="1"/>
  <c r="L286" i="1"/>
  <c r="L287" i="1"/>
  <c r="L288" i="1"/>
  <c r="L296" i="1"/>
  <c r="L297" i="1"/>
  <c r="E111" i="2" s="1"/>
  <c r="L298" i="1"/>
  <c r="C13" i="10" s="1"/>
  <c r="L300" i="1"/>
  <c r="L302" i="1"/>
  <c r="L303" i="1"/>
  <c r="L304" i="1"/>
  <c r="L305" i="1"/>
  <c r="L306" i="1"/>
  <c r="L307" i="1"/>
  <c r="L314" i="1"/>
  <c r="L316" i="1"/>
  <c r="L317" i="1"/>
  <c r="L319" i="1"/>
  <c r="L321" i="1"/>
  <c r="L322" i="1"/>
  <c r="L323" i="1"/>
  <c r="L324" i="1"/>
  <c r="L325" i="1"/>
  <c r="L326" i="1"/>
  <c r="L333" i="1"/>
  <c r="L334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13" i="12"/>
  <c r="C9" i="12"/>
  <c r="C13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 s="1"/>
  <c r="G61" i="2"/>
  <c r="F2" i="11"/>
  <c r="L613" i="1"/>
  <c r="L612" i="1"/>
  <c r="G663" i="1"/>
  <c r="L611" i="1"/>
  <c r="C40" i="10"/>
  <c r="F60" i="1"/>
  <c r="G60" i="1"/>
  <c r="H60" i="1"/>
  <c r="E56" i="2" s="1"/>
  <c r="I60" i="1"/>
  <c r="F79" i="1"/>
  <c r="F94" i="1"/>
  <c r="C58" i="2" s="1"/>
  <c r="G111" i="1"/>
  <c r="H79" i="1"/>
  <c r="E57" i="2"/>
  <c r="H94" i="1"/>
  <c r="E58" i="2" s="1"/>
  <c r="H111" i="1"/>
  <c r="I111" i="1"/>
  <c r="I112" i="1" s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/>
  <c r="H162" i="1"/>
  <c r="H169" i="1" s="1"/>
  <c r="I147" i="1"/>
  <c r="I162" i="1"/>
  <c r="L250" i="1"/>
  <c r="C113" i="2" s="1"/>
  <c r="L332" i="1"/>
  <c r="L254" i="1"/>
  <c r="L268" i="1"/>
  <c r="L269" i="1"/>
  <c r="C143" i="2" s="1"/>
  <c r="L349" i="1"/>
  <c r="L350" i="1"/>
  <c r="E143" i="2"/>
  <c r="I665" i="1"/>
  <c r="I670" i="1"/>
  <c r="I669" i="1"/>
  <c r="C42" i="10"/>
  <c r="L374" i="1"/>
  <c r="L375" i="1"/>
  <c r="L376" i="1"/>
  <c r="L377" i="1"/>
  <c r="L378" i="1"/>
  <c r="L379" i="1"/>
  <c r="L380" i="1"/>
  <c r="F130" i="2" s="1"/>
  <c r="F144" i="2" s="1"/>
  <c r="F145" i="2" s="1"/>
  <c r="B2" i="10"/>
  <c r="L344" i="1"/>
  <c r="L345" i="1"/>
  <c r="L346" i="1"/>
  <c r="E137" i="2" s="1"/>
  <c r="L347" i="1"/>
  <c r="K351" i="1"/>
  <c r="L526" i="1"/>
  <c r="G549" i="1"/>
  <c r="L528" i="1"/>
  <c r="G551" i="1"/>
  <c r="L531" i="1"/>
  <c r="L536" i="1"/>
  <c r="I549" i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K270" i="1"/>
  <c r="J270" i="1"/>
  <c r="I270" i="1"/>
  <c r="H270" i="1"/>
  <c r="G270" i="1"/>
  <c r="L270" i="1" s="1"/>
  <c r="F270" i="1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/>
  <c r="C24" i="2"/>
  <c r="D24" i="2"/>
  <c r="E24" i="2"/>
  <c r="F24" i="2"/>
  <c r="C25" i="2"/>
  <c r="F25" i="2"/>
  <c r="C26" i="2"/>
  <c r="F26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D50" i="2" s="1"/>
  <c r="D51" i="2" s="1"/>
  <c r="E35" i="2"/>
  <c r="F35" i="2"/>
  <c r="I454" i="1"/>
  <c r="J49" i="1" s="1"/>
  <c r="G48" i="2"/>
  <c r="I456" i="1"/>
  <c r="J43" i="1"/>
  <c r="I457" i="1"/>
  <c r="J37" i="1"/>
  <c r="G36" i="2" s="1"/>
  <c r="G50" i="2" s="1"/>
  <c r="I459" i="1"/>
  <c r="J48" i="1"/>
  <c r="G47" i="2" s="1"/>
  <c r="C49" i="2"/>
  <c r="D56" i="2"/>
  <c r="F56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D91" i="2" s="1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D103" i="2" s="1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E113" i="2"/>
  <c r="D115" i="2"/>
  <c r="F115" i="2"/>
  <c r="G115" i="2"/>
  <c r="C122" i="2"/>
  <c r="F128" i="2"/>
  <c r="G128" i="2"/>
  <c r="D134" i="2"/>
  <c r="D144" i="2"/>
  <c r="E134" i="2"/>
  <c r="F134" i="2"/>
  <c r="K419" i="1"/>
  <c r="K427" i="1"/>
  <c r="K433" i="1"/>
  <c r="L263" i="1"/>
  <c r="C135" i="2" s="1"/>
  <c r="E135" i="2"/>
  <c r="L264" i="1"/>
  <c r="C136" i="2"/>
  <c r="L265" i="1"/>
  <c r="C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/>
  <c r="J618" i="1" s="1"/>
  <c r="H19" i="1"/>
  <c r="G619" i="1"/>
  <c r="I19" i="1"/>
  <c r="G32" i="1"/>
  <c r="G52" i="1"/>
  <c r="H618" i="1" s="1"/>
  <c r="H32" i="1"/>
  <c r="I32" i="1"/>
  <c r="H51" i="1"/>
  <c r="H52" i="1" s="1"/>
  <c r="H619" i="1" s="1"/>
  <c r="I51" i="1"/>
  <c r="G625" i="1"/>
  <c r="F177" i="1"/>
  <c r="I177" i="1"/>
  <c r="F183" i="1"/>
  <c r="F192" i="1" s="1"/>
  <c r="G183" i="1"/>
  <c r="H183" i="1"/>
  <c r="I183" i="1"/>
  <c r="I192" i="1" s="1"/>
  <c r="I193" i="1" s="1"/>
  <c r="J183" i="1"/>
  <c r="J192" i="1"/>
  <c r="F188" i="1"/>
  <c r="G188" i="1"/>
  <c r="G192" i="1" s="1"/>
  <c r="H188" i="1"/>
  <c r="H192" i="1"/>
  <c r="I188" i="1"/>
  <c r="F211" i="1"/>
  <c r="G211" i="1"/>
  <c r="H211" i="1"/>
  <c r="I211" i="1"/>
  <c r="J211" i="1"/>
  <c r="J257" i="1" s="1"/>
  <c r="H648" i="1" s="1"/>
  <c r="K211" i="1"/>
  <c r="G229" i="1"/>
  <c r="H229" i="1"/>
  <c r="J229" i="1"/>
  <c r="K229" i="1"/>
  <c r="G247" i="1"/>
  <c r="J247" i="1"/>
  <c r="K247" i="1"/>
  <c r="F256" i="1"/>
  <c r="G256" i="1"/>
  <c r="H256" i="1"/>
  <c r="I256" i="1"/>
  <c r="J256" i="1"/>
  <c r="K256" i="1"/>
  <c r="F290" i="1"/>
  <c r="G290" i="1"/>
  <c r="I290" i="1"/>
  <c r="F309" i="1"/>
  <c r="G309" i="1"/>
  <c r="G328" i="1"/>
  <c r="H328" i="1"/>
  <c r="I328" i="1"/>
  <c r="G337" i="1"/>
  <c r="H337" i="1"/>
  <c r="I337" i="1"/>
  <c r="J337" i="1"/>
  <c r="K337" i="1"/>
  <c r="G362" i="1"/>
  <c r="H362" i="1"/>
  <c r="J362" i="1"/>
  <c r="K362" i="1"/>
  <c r="I368" i="1"/>
  <c r="I369" i="1" s="1"/>
  <c r="H634" i="1"/>
  <c r="F369" i="1"/>
  <c r="G369" i="1"/>
  <c r="H369" i="1"/>
  <c r="L381" i="1"/>
  <c r="F382" i="1"/>
  <c r="G382" i="1"/>
  <c r="H382" i="1"/>
  <c r="I382" i="1"/>
  <c r="J382" i="1"/>
  <c r="K382" i="1"/>
  <c r="F393" i="1"/>
  <c r="F408" i="1"/>
  <c r="H643" i="1" s="1"/>
  <c r="J643" i="1" s="1"/>
  <c r="G393" i="1"/>
  <c r="G408" i="1" s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9" i="1" s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/>
  <c r="G446" i="1"/>
  <c r="G640" i="1"/>
  <c r="H446" i="1"/>
  <c r="F452" i="1"/>
  <c r="G452" i="1"/>
  <c r="H452" i="1"/>
  <c r="J641" i="1"/>
  <c r="F460" i="1"/>
  <c r="F461" i="1"/>
  <c r="H639" i="1"/>
  <c r="G460" i="1"/>
  <c r="H460" i="1"/>
  <c r="H461" i="1" s="1"/>
  <c r="H641" i="1" s="1"/>
  <c r="K495" i="1"/>
  <c r="K496" i="1"/>
  <c r="K497" i="1"/>
  <c r="K498" i="1"/>
  <c r="K499" i="1"/>
  <c r="K501" i="1"/>
  <c r="K502" i="1"/>
  <c r="F517" i="1"/>
  <c r="G517" i="1"/>
  <c r="H517" i="1"/>
  <c r="I517" i="1"/>
  <c r="G524" i="1"/>
  <c r="J524" i="1"/>
  <c r="K524" i="1"/>
  <c r="K545" i="1" s="1"/>
  <c r="F529" i="1"/>
  <c r="G529" i="1"/>
  <c r="I529" i="1"/>
  <c r="J529" i="1"/>
  <c r="K529" i="1"/>
  <c r="G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J545" i="1" s="1"/>
  <c r="K544" i="1"/>
  <c r="L557" i="1"/>
  <c r="L558" i="1"/>
  <c r="L560" i="1"/>
  <c r="L571" i="1" s="1"/>
  <c r="L559" i="1"/>
  <c r="F560" i="1"/>
  <c r="F571" i="1" s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/>
  <c r="L567" i="1"/>
  <c r="L568" i="1"/>
  <c r="L569" i="1"/>
  <c r="F570" i="1"/>
  <c r="G570" i="1"/>
  <c r="H570" i="1"/>
  <c r="I570" i="1"/>
  <c r="I571" i="1" s="1"/>
  <c r="J570" i="1"/>
  <c r="J571" i="1" s="1"/>
  <c r="K570" i="1"/>
  <c r="I575" i="1"/>
  <c r="I576" i="1"/>
  <c r="I577" i="1"/>
  <c r="I578" i="1"/>
  <c r="I580" i="1"/>
  <c r="I581" i="1"/>
  <c r="I582" i="1"/>
  <c r="I583" i="1"/>
  <c r="I584" i="1"/>
  <c r="I585" i="1"/>
  <c r="I586" i="1"/>
  <c r="I587" i="1"/>
  <c r="K592" i="1"/>
  <c r="K594" i="1"/>
  <c r="K595" i="1"/>
  <c r="K596" i="1"/>
  <c r="K603" i="1"/>
  <c r="K604" i="1"/>
  <c r="H605" i="1"/>
  <c r="I605" i="1"/>
  <c r="F614" i="1"/>
  <c r="G614" i="1"/>
  <c r="H614" i="1"/>
  <c r="I614" i="1"/>
  <c r="J614" i="1"/>
  <c r="K614" i="1"/>
  <c r="L614" i="1"/>
  <c r="G620" i="1"/>
  <c r="G622" i="1"/>
  <c r="G641" i="1"/>
  <c r="G643" i="1"/>
  <c r="G644" i="1"/>
  <c r="H645" i="1"/>
  <c r="G652" i="1"/>
  <c r="H652" i="1"/>
  <c r="G653" i="1"/>
  <c r="H653" i="1"/>
  <c r="G654" i="1"/>
  <c r="H654" i="1"/>
  <c r="H655" i="1"/>
  <c r="C26" i="10"/>
  <c r="I169" i="1"/>
  <c r="J140" i="1"/>
  <c r="H140" i="1"/>
  <c r="J655" i="1"/>
  <c r="L570" i="1"/>
  <c r="L565" i="1"/>
  <c r="L544" i="1"/>
  <c r="I552" i="1"/>
  <c r="G545" i="1"/>
  <c r="E125" i="2"/>
  <c r="E120" i="2"/>
  <c r="E123" i="2"/>
  <c r="A31" i="12"/>
  <c r="E78" i="2"/>
  <c r="E81" i="2" s="1"/>
  <c r="D18" i="2"/>
  <c r="F18" i="2"/>
  <c r="D18" i="13"/>
  <c r="C18" i="13" s="1"/>
  <c r="G164" i="2"/>
  <c r="D19" i="13"/>
  <c r="C19" i="13"/>
  <c r="E31" i="2"/>
  <c r="E51" i="2" s="1"/>
  <c r="F78" i="2"/>
  <c r="F81" i="2"/>
  <c r="E124" i="2"/>
  <c r="C19" i="10"/>
  <c r="E118" i="2"/>
  <c r="G338" i="1"/>
  <c r="G352" i="1" s="1"/>
  <c r="H408" i="1"/>
  <c r="H644" i="1"/>
  <c r="J644" i="1" s="1"/>
  <c r="I446" i="1"/>
  <c r="G642" i="1" s="1"/>
  <c r="F169" i="1"/>
  <c r="C39" i="10" s="1"/>
  <c r="C91" i="2"/>
  <c r="C78" i="2"/>
  <c r="C81" i="2" s="1"/>
  <c r="C57" i="2"/>
  <c r="H25" i="13"/>
  <c r="C132" i="2"/>
  <c r="C32" i="10"/>
  <c r="C29" i="10"/>
  <c r="H662" i="1"/>
  <c r="E13" i="13"/>
  <c r="C13" i="13"/>
  <c r="G257" i="1"/>
  <c r="C111" i="2"/>
  <c r="C18" i="10"/>
  <c r="C17" i="10"/>
  <c r="K257" i="1"/>
  <c r="K271" i="1" s="1"/>
  <c r="C118" i="2"/>
  <c r="A40" i="12"/>
  <c r="C112" i="2"/>
  <c r="J271" i="1"/>
  <c r="J639" i="1"/>
  <c r="I460" i="1"/>
  <c r="G645" i="1"/>
  <c r="J645" i="1"/>
  <c r="L539" i="1"/>
  <c r="K503" i="1"/>
  <c r="G662" i="1"/>
  <c r="C21" i="10"/>
  <c r="C12" i="10"/>
  <c r="F22" i="13"/>
  <c r="C22" i="13"/>
  <c r="H112" i="1"/>
  <c r="H193" i="1" s="1"/>
  <c r="G629" i="1" s="1"/>
  <c r="I452" i="1"/>
  <c r="I461" i="1" s="1"/>
  <c r="H642" i="1" s="1"/>
  <c r="I52" i="1"/>
  <c r="H620" i="1" s="1"/>
  <c r="J620" i="1" s="1"/>
  <c r="C121" i="2"/>
  <c r="D12" i="13"/>
  <c r="C12" i="13"/>
  <c r="K338" i="1"/>
  <c r="K352" i="1" s="1"/>
  <c r="G112" i="1"/>
  <c r="J338" i="1"/>
  <c r="J352" i="1" s="1"/>
  <c r="C120" i="2"/>
  <c r="E8" i="13"/>
  <c r="F62" i="2"/>
  <c r="F63" i="2" s="1"/>
  <c r="F104" i="2" s="1"/>
  <c r="C23" i="10"/>
  <c r="G163" i="2"/>
  <c r="G162" i="2"/>
  <c r="G160" i="2"/>
  <c r="G158" i="2"/>
  <c r="G103" i="2"/>
  <c r="F103" i="2"/>
  <c r="F91" i="2"/>
  <c r="E50" i="2"/>
  <c r="C50" i="2"/>
  <c r="C51" i="2" s="1"/>
  <c r="F31" i="2"/>
  <c r="E18" i="2"/>
  <c r="F50" i="2"/>
  <c r="G31" i="13"/>
  <c r="G33" i="13"/>
  <c r="L407" i="1"/>
  <c r="C140" i="2" s="1"/>
  <c r="E91" i="2"/>
  <c r="J654" i="1"/>
  <c r="J653" i="1"/>
  <c r="G21" i="2"/>
  <c r="J434" i="1"/>
  <c r="F434" i="1"/>
  <c r="K434" i="1"/>
  <c r="G134" i="2"/>
  <c r="G144" i="2" s="1"/>
  <c r="G145" i="2" s="1"/>
  <c r="J193" i="1"/>
  <c r="J468" i="1" s="1"/>
  <c r="G169" i="1"/>
  <c r="G140" i="1"/>
  <c r="F140" i="1"/>
  <c r="G63" i="2"/>
  <c r="G42" i="2"/>
  <c r="G16" i="2"/>
  <c r="J19" i="1"/>
  <c r="G621" i="1" s="1"/>
  <c r="G18" i="2"/>
  <c r="H434" i="1"/>
  <c r="J619" i="1"/>
  <c r="I140" i="1"/>
  <c r="J652" i="1"/>
  <c r="G571" i="1"/>
  <c r="I434" i="1"/>
  <c r="G434" i="1"/>
  <c r="F51" i="2"/>
  <c r="G646" i="1"/>
  <c r="G631" i="1"/>
  <c r="G193" i="1"/>
  <c r="G468" i="1" s="1"/>
  <c r="G470" i="1" s="1"/>
  <c r="H631" i="1"/>
  <c r="J470" i="1"/>
  <c r="H637" i="1"/>
  <c r="J642" i="1" l="1"/>
  <c r="I468" i="1"/>
  <c r="G630" i="1"/>
  <c r="C25" i="13"/>
  <c r="H33" i="13"/>
  <c r="C103" i="2"/>
  <c r="D6" i="13"/>
  <c r="C6" i="13" s="1"/>
  <c r="C15" i="10"/>
  <c r="F111" i="1"/>
  <c r="F112" i="1" s="1"/>
  <c r="F193" i="1" s="1"/>
  <c r="C59" i="2"/>
  <c r="C62" i="2" s="1"/>
  <c r="F328" i="1"/>
  <c r="L315" i="1"/>
  <c r="L328" i="1" s="1"/>
  <c r="L277" i="1"/>
  <c r="H290" i="1"/>
  <c r="K597" i="1"/>
  <c r="H598" i="1"/>
  <c r="H649" i="1" s="1"/>
  <c r="J605" i="1"/>
  <c r="K602" i="1"/>
  <c r="K605" i="1" s="1"/>
  <c r="G648" i="1" s="1"/>
  <c r="J648" i="1" s="1"/>
  <c r="H524" i="1"/>
  <c r="H545" i="1" s="1"/>
  <c r="L522" i="1"/>
  <c r="F550" i="1" s="1"/>
  <c r="L532" i="1"/>
  <c r="H550" i="1" s="1"/>
  <c r="F534" i="1"/>
  <c r="G628" i="1"/>
  <c r="G104" i="2"/>
  <c r="G624" i="1"/>
  <c r="I598" i="1"/>
  <c r="H650" i="1" s="1"/>
  <c r="J650" i="1" s="1"/>
  <c r="F32" i="1"/>
  <c r="F52" i="1" s="1"/>
  <c r="H617" i="1" s="1"/>
  <c r="G159" i="2"/>
  <c r="H663" i="1"/>
  <c r="E16" i="13"/>
  <c r="C16" i="13" s="1"/>
  <c r="C125" i="2"/>
  <c r="E161" i="2"/>
  <c r="G161" i="2" s="1"/>
  <c r="K500" i="1"/>
  <c r="L358" i="1"/>
  <c r="I362" i="1"/>
  <c r="G634" i="1" s="1"/>
  <c r="J634" i="1" s="1"/>
  <c r="H309" i="1"/>
  <c r="L295" i="1"/>
  <c r="L301" i="1"/>
  <c r="E119" i="2" s="1"/>
  <c r="I309" i="1"/>
  <c r="I338" i="1" s="1"/>
  <c r="I352" i="1" s="1"/>
  <c r="K593" i="1"/>
  <c r="K598" i="1" s="1"/>
  <c r="G647" i="1" s="1"/>
  <c r="J647" i="1" s="1"/>
  <c r="J598" i="1"/>
  <c r="H651" i="1" s="1"/>
  <c r="J651" i="1" s="1"/>
  <c r="F545" i="1"/>
  <c r="I524" i="1"/>
  <c r="I545" i="1" s="1"/>
  <c r="L523" i="1"/>
  <c r="F551" i="1" s="1"/>
  <c r="K551" i="1" s="1"/>
  <c r="F663" i="1"/>
  <c r="I663" i="1" s="1"/>
  <c r="I579" i="1"/>
  <c r="J631" i="1"/>
  <c r="H468" i="1"/>
  <c r="J51" i="1"/>
  <c r="C38" i="10"/>
  <c r="C124" i="2"/>
  <c r="G649" i="1"/>
  <c r="J649" i="1" s="1"/>
  <c r="F662" i="1"/>
  <c r="I662" i="1" s="1"/>
  <c r="H647" i="1"/>
  <c r="L427" i="1"/>
  <c r="L434" i="1" s="1"/>
  <c r="G23" i="2"/>
  <c r="G31" i="2" s="1"/>
  <c r="G51" i="2" s="1"/>
  <c r="J32" i="1"/>
  <c r="L521" i="1"/>
  <c r="F33" i="13"/>
  <c r="F337" i="1"/>
  <c r="L337" i="1" s="1"/>
  <c r="L335" i="1"/>
  <c r="H628" i="1"/>
  <c r="C8" i="13"/>
  <c r="L533" i="1"/>
  <c r="H551" i="1" s="1"/>
  <c r="L527" i="1"/>
  <c r="L360" i="1"/>
  <c r="H661" i="1" s="1"/>
  <c r="L382" i="1"/>
  <c r="G271" i="1"/>
  <c r="J640" i="1"/>
  <c r="I408" i="1"/>
  <c r="L256" i="1"/>
  <c r="G81" i="2"/>
  <c r="H549" i="1"/>
  <c r="H552" i="1" s="1"/>
  <c r="L534" i="1"/>
  <c r="E121" i="2"/>
  <c r="G461" i="1"/>
  <c r="H640" i="1" s="1"/>
  <c r="J617" i="1"/>
  <c r="D62" i="2"/>
  <c r="D63" i="2" s="1"/>
  <c r="D104" i="2" s="1"/>
  <c r="L401" i="1"/>
  <c r="C139" i="2" s="1"/>
  <c r="L393" i="1"/>
  <c r="L351" i="1"/>
  <c r="E131" i="2"/>
  <c r="E144" i="2" s="1"/>
  <c r="E62" i="2"/>
  <c r="E63" i="2" s="1"/>
  <c r="E104" i="2" s="1"/>
  <c r="C56" i="2"/>
  <c r="C63" i="2" s="1"/>
  <c r="C104" i="2" s="1"/>
  <c r="C35" i="10"/>
  <c r="L233" i="1"/>
  <c r="B9" i="12"/>
  <c r="A13" i="12" s="1"/>
  <c r="L198" i="1"/>
  <c r="B18" i="12"/>
  <c r="A22" i="12" s="1"/>
  <c r="L234" i="1"/>
  <c r="I247" i="1"/>
  <c r="I257" i="1" s="1"/>
  <c r="I271" i="1" s="1"/>
  <c r="L221" i="1"/>
  <c r="F229" i="1"/>
  <c r="F257" i="1" s="1"/>
  <c r="F271" i="1" s="1"/>
  <c r="L243" i="1"/>
  <c r="C20" i="10" s="1"/>
  <c r="H247" i="1"/>
  <c r="H257" i="1" s="1"/>
  <c r="H271" i="1" s="1"/>
  <c r="J472" i="1" l="1"/>
  <c r="G638" i="1"/>
  <c r="C36" i="10"/>
  <c r="G550" i="1"/>
  <c r="G552" i="1" s="1"/>
  <c r="L529" i="1"/>
  <c r="E114" i="2"/>
  <c r="C24" i="10"/>
  <c r="H470" i="1"/>
  <c r="H629" i="1"/>
  <c r="J629" i="1" s="1"/>
  <c r="K550" i="1"/>
  <c r="D7" i="13"/>
  <c r="C7" i="13" s="1"/>
  <c r="C119" i="2"/>
  <c r="C128" i="2" s="1"/>
  <c r="C16" i="10"/>
  <c r="L229" i="1"/>
  <c r="C110" i="2"/>
  <c r="D5" i="13"/>
  <c r="C11" i="10"/>
  <c r="L211" i="1"/>
  <c r="L408" i="1"/>
  <c r="C138" i="2"/>
  <c r="J628" i="1"/>
  <c r="F338" i="1"/>
  <c r="F352" i="1" s="1"/>
  <c r="E33" i="13"/>
  <c r="D35" i="13" s="1"/>
  <c r="I472" i="1"/>
  <c r="G636" i="1"/>
  <c r="F549" i="1"/>
  <c r="L524" i="1"/>
  <c r="E128" i="2"/>
  <c r="F661" i="1"/>
  <c r="D127" i="2"/>
  <c r="D128" i="2" s="1"/>
  <c r="D145" i="2" s="1"/>
  <c r="L362" i="1"/>
  <c r="D29" i="13"/>
  <c r="C29" i="13" s="1"/>
  <c r="G661" i="1"/>
  <c r="H338" i="1"/>
  <c r="H352" i="1" s="1"/>
  <c r="D14" i="13"/>
  <c r="C14" i="13" s="1"/>
  <c r="C123" i="2"/>
  <c r="L247" i="1"/>
  <c r="H660" i="1" s="1"/>
  <c r="H664" i="1" s="1"/>
  <c r="C10" i="10"/>
  <c r="C109" i="2"/>
  <c r="C115" i="2" s="1"/>
  <c r="G626" i="1"/>
  <c r="J52" i="1"/>
  <c r="H621" i="1" s="1"/>
  <c r="J621" i="1" s="1"/>
  <c r="L309" i="1"/>
  <c r="E109" i="2"/>
  <c r="E115" i="2" s="1"/>
  <c r="E145" i="2" s="1"/>
  <c r="E110" i="2"/>
  <c r="L290" i="1"/>
  <c r="F468" i="1"/>
  <c r="G627" i="1"/>
  <c r="I470" i="1"/>
  <c r="H630" i="1"/>
  <c r="J630" i="1" s="1"/>
  <c r="I474" i="1" l="1"/>
  <c r="H636" i="1"/>
  <c r="C141" i="2"/>
  <c r="C144" i="2"/>
  <c r="C145" i="2" s="1"/>
  <c r="I476" i="1"/>
  <c r="H625" i="1" s="1"/>
  <c r="J625" i="1" s="1"/>
  <c r="H672" i="1"/>
  <c r="C6" i="10" s="1"/>
  <c r="H667" i="1"/>
  <c r="L545" i="1"/>
  <c r="G637" i="1"/>
  <c r="J637" i="1" s="1"/>
  <c r="H646" i="1"/>
  <c r="J646" i="1" s="1"/>
  <c r="F470" i="1"/>
  <c r="H627" i="1"/>
  <c r="J627" i="1" s="1"/>
  <c r="J636" i="1"/>
  <c r="J474" i="1"/>
  <c r="J476" i="1" s="1"/>
  <c r="H626" i="1" s="1"/>
  <c r="J626" i="1" s="1"/>
  <c r="H638" i="1"/>
  <c r="L338" i="1"/>
  <c r="L352" i="1" s="1"/>
  <c r="D31" i="13"/>
  <c r="C31" i="13" s="1"/>
  <c r="G472" i="1"/>
  <c r="C27" i="10"/>
  <c r="C28" i="10" s="1"/>
  <c r="G635" i="1"/>
  <c r="C5" i="13"/>
  <c r="D33" i="13"/>
  <c r="D36" i="13" s="1"/>
  <c r="C41" i="10"/>
  <c r="I661" i="1"/>
  <c r="K549" i="1"/>
  <c r="K552" i="1" s="1"/>
  <c r="F552" i="1"/>
  <c r="L257" i="1"/>
  <c r="L271" i="1" s="1"/>
  <c r="F660" i="1"/>
  <c r="G660" i="1"/>
  <c r="G664" i="1" s="1"/>
  <c r="J638" i="1"/>
  <c r="D25" i="10" l="1"/>
  <c r="D22" i="10"/>
  <c r="D23" i="10"/>
  <c r="D13" i="10"/>
  <c r="D19" i="10"/>
  <c r="C30" i="10"/>
  <c r="D18" i="10"/>
  <c r="D26" i="10"/>
  <c r="D12" i="10"/>
  <c r="D17" i="10"/>
  <c r="D21" i="10"/>
  <c r="D15" i="10"/>
  <c r="D20" i="10"/>
  <c r="D16" i="10"/>
  <c r="D24" i="10"/>
  <c r="D11" i="10"/>
  <c r="D10" i="10"/>
  <c r="D28" i="10" s="1"/>
  <c r="F472" i="1"/>
  <c r="G632" i="1"/>
  <c r="G474" i="1"/>
  <c r="G476" i="1" s="1"/>
  <c r="H623" i="1" s="1"/>
  <c r="J623" i="1" s="1"/>
  <c r="H635" i="1"/>
  <c r="G667" i="1"/>
  <c r="G672" i="1"/>
  <c r="C5" i="10" s="1"/>
  <c r="J635" i="1"/>
  <c r="H472" i="1"/>
  <c r="G633" i="1"/>
  <c r="F664" i="1"/>
  <c r="I660" i="1"/>
  <c r="I664" i="1" s="1"/>
  <c r="D37" i="10"/>
  <c r="D39" i="10"/>
  <c r="D40" i="10"/>
  <c r="D35" i="10"/>
  <c r="D41" i="10" s="1"/>
  <c r="D38" i="10"/>
  <c r="D27" i="10"/>
  <c r="D36" i="10"/>
  <c r="I672" i="1" l="1"/>
  <c r="C7" i="10" s="1"/>
  <c r="I667" i="1"/>
  <c r="F672" i="1"/>
  <c r="C4" i="10" s="1"/>
  <c r="F667" i="1"/>
  <c r="H474" i="1"/>
  <c r="H476" i="1" s="1"/>
  <c r="H624" i="1" s="1"/>
  <c r="J624" i="1" s="1"/>
  <c r="H633" i="1"/>
  <c r="J633" i="1" s="1"/>
  <c r="F474" i="1"/>
  <c r="F476" i="1" s="1"/>
  <c r="H622" i="1" s="1"/>
  <c r="J622" i="1" s="1"/>
  <c r="H632" i="1"/>
  <c r="J632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<sst xmlns="http://schemas.openxmlformats.org/spreadsheetml/2006/main" count="3957" uniqueCount="915">
  <si>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</si>
  <si>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</si>
  <si>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</si>
  <si>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</si>
  <si>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</si>
  <si>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</si>
  <si>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</si>
  <si>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</si>
  <si>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</si>
  <si>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</si>
  <si>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</si>
  <si>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</si>
  <si>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</si>
  <si>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</si>
  <si>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</si>
  <si>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</si>
  <si>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</si>
  <si>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</si>
  <si>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</si>
  <si>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</si>
  <si>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</si>
  <si>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</si>
  <si>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</si>
  <si>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</si>
  <si>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</si>
  <si>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</si>
  <si>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</si>
  <si>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</si>
  <si>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</si>
  <si>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</si>
  <si>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</si>
  <si>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</si>
  <si>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</si>
  <si>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</si>
  <si>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</si>
  <si>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</si>
  <si>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</si>
  <si>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</si>
  <si>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</si>
  <si>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</si>
  <si>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</si>
  <si>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</si>
  <si>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</si>
  <si>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</si>
  <si>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</si>
  <si>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</si>
  <si>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</si>
  <si>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</si>
  <si>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</si>
  <si>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</si>
  <si>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</si>
  <si>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</si>
  <si>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</si>
  <si>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</si>
  <si>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</si>
  <si>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</si>
  <si>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</si>
  <si>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</si>
  <si>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</si>
  <si>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</si>
  <si>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</si>
  <si>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</si>
  <si>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</si>
  <si>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</si>
  <si>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</si>
  <si>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</si>
  <si>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</si>
  <si>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</si>
  <si>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</si>
  <si>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</si>
  <si>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</si>
  <si>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</si>
  <si>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</si>
  <si>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</si>
  <si>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</si>
  <si>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</si>
  <si>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</si>
  <si>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</si>
  <si>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</si>
  <si>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</si>
  <si>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</si>
  <si>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</si>
  <si>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</si>
  <si>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</si>
  <si>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</si>
  <si>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</si>
  <si>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</si>
  <si>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</si>
  <si>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</si>
  <si>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</si>
  <si>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</si>
  <si>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</si>
  <si>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</si>
  <si>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</si>
  <si>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</si>
  <si>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</si>
  <si>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</si>
  <si>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</si>
  <si>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</si>
  <si>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</si>
  <si>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</si>
  <si>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</si>
  <si>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</si>
  <si>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</si>
  <si>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</si>
  <si>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</si>
  <si>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</si>
  <si>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</si>
  <si>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</si>
  <si>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</si>
  <si>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</si>
  <si>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</si>
  <si>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</si>
  <si>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</si>
  <si>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</si>
  <si>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</si>
  <si>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</si>
  <si>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</si>
  <si>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</si>
  <si>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</si>
  <si>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</si>
  <si>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</si>
  <si>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</si>
  <si>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</si>
  <si>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</si>
  <si>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</si>
  <si>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</si>
  <si>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</si>
  <si>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</si>
  <si>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</si>
  <si>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</si>
  <si>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</si>
  <si>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</si>
  <si>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</si>
  <si>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</si>
  <si>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</si>
  <si>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</si>
  <si>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</si>
  <si>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</si>
  <si>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</si>
  <si>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</si>
  <si>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</si>
  <si>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</si>
  <si>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</si>
  <si>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</si>
  <si>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</si>
  <si>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</si>
  <si>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</si>
  <si>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</si>
  <si>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</si>
  <si>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</si>
  <si>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</si>
  <si>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</si>
  <si>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</si>
  <si>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</si>
  <si>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</si>
  <si>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</si>
  <si>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</si>
  <si>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</si>
  <si>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</si>
  <si>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</si>
  <si>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</si>
  <si>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</si>
  <si>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</si>
  <si>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</si>
  <si>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</si>
  <si>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</si>
  <si>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</si>
  <si>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</si>
  <si>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</si>
  <si>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</si>
  <si>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</si>
  <si>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</si>
  <si>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</si>
  <si>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</si>
  <si>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</si>
  <si>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</si>
  <si>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</si>
  <si>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</si>
  <si>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</si>
  <si>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</si>
  <si>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</si>
  <si>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</si>
  <si>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</si>
  <si>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</si>
  <si>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</si>
  <si>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</si>
  <si>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</si>
  <si>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</si>
  <si>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</si>
  <si>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</si>
  <si>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</si>
  <si>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</si>
  <si>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</si>
  <si>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</si>
  <si>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</si>
  <si>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</si>
  <si>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</si>
  <si>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</si>
  <si>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</si>
  <si>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</si>
  <si>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</si>
  <si>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</si>
  <si>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</si>
  <si>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</si>
  <si>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</si>
  <si>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</si>
  <si>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</si>
  <si>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</si>
  <si>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</si>
  <si>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</si>
  <si>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</si>
  <si>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</si>
  <si>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</si>
  <si>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</si>
  <si>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</si>
  <si>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</si>
  <si>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</si>
  <si>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</si>
  <si>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</si>
  <si>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</si>
  <si>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</si>
  <si>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</si>
  <si>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</si>
  <si>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</si>
  <si>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</si>
  <si>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</si>
  <si>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</si>
  <si>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</si>
  <si>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</si>
  <si>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</si>
  <si>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</si>
  <si>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</si>
  <si>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</si>
  <si>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</si>
  <si>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</si>
  <si>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</si>
  <si>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</si>
  <si>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</si>
  <si>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</si>
  <si>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</si>
  <si>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</si>
  <si>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</si>
  <si>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</si>
  <si>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</si>
  <si>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</si>
  <si>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</si>
  <si>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</si>
  <si>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</si>
  <si>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</si>
  <si>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</si>
  <si>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</si>
  <si>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</si>
  <si>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</si>
  <si>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</si>
  <si>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</si>
  <si>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</si>
  <si>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</si>
  <si>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</si>
  <si>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</si>
  <si>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</si>
  <si>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</si>
  <si>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</si>
  <si>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</si>
  <si>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</si>
  <si>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</si>
  <si>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</si>
  <si>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</si>
  <si>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</si>
  <si>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</si>
  <si>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</si>
  <si>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</si>
  <si>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</si>
  <si>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</si>
  <si>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</si>
  <si>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</si>
  <si>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</si>
  <si>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</si>
  <si>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</si>
  <si>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</si>
  <si>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</si>
  <si>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</si>
  <si>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</si>
  <si>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</si>
  <si>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</si>
  <si>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</si>
  <si>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</si>
  <si>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</si>
  <si>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</si>
  <si>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</si>
  <si>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</si>
  <si>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</si>
  <si>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</si>
  <si>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</si>
  <si>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</si>
  <si>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</si>
  <si>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</si>
  <si>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</si>
  <si>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</si>
  <si>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</si>
  <si>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</si>
  <si>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</si>
  <si>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</si>
  <si>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</si>
  <si>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</si>
  <si>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</si>
  <si>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</si>
  <si>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</si>
  <si>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</si>
  <si>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</si>
  <si>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</si>
  <si>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</si>
  <si>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</si>
  <si>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</si>
  <si>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</si>
  <si>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</si>
  <si>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</si>
  <si>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</si>
  <si>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</si>
  <si>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</si>
  <si>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</si>
  <si>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</si>
  <si>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</si>
  <si>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</si>
  <si>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</si>
  <si>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</si>
  <si>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</si>
  <si>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</si>
  <si>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</si>
  <si>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</si>
  <si>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</si>
  <si>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</si>
  <si>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</si>
  <si>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</si>
  <si>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</si>
  <si>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</si>
  <si>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</si>
  <si>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</si>
  <si>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</si>
  <si>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</si>
  <si>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</si>
  <si>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</si>
  <si>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</si>
  <si>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</si>
  <si>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</si>
  <si>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</si>
  <si>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</si>
  <si>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</si>
  <si>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</si>
  <si>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</si>
  <si>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</si>
  <si>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</si>
  <si>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</si>
  <si>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</si>
  <si>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</si>
  <si>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</si>
  <si>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</si>
  <si>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</si>
  <si>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</si>
  <si>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</si>
  <si>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</si>
  <si>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</si>
  <si>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</si>
  <si>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</si>
  <si>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</si>
  <si>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</si>
  <si>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</si>
  <si>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</si>
  <si>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</si>
  <si>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</si>
  <si>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</si>
  <si>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</si>
  <si>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</si>
  <si>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</si>
  <si>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</si>
  <si>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</si>
  <si>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</si>
  <si>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</si>
  <si>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</si>
  <si>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</si>
  <si>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</si>
  <si>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</si>
  <si>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</si>
  <si>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</si>
  <si>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</si>
  <si>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</si>
  <si>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</si>
  <si>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</si>
  <si>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</si>
  <si>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</si>
  <si>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</si>
  <si>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</si>
  <si>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</si>
  <si>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</si>
  <si>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</si>
  <si>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</si>
  <si>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</si>
  <si>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</si>
  <si>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</si>
  <si>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</si>
  <si>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</si>
  <si>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</si>
  <si>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</si>
  <si>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</si>
  <si>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</si>
  <si>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</si>
  <si>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</si>
  <si>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</si>
  <si>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</si>
  <si>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</si>
  <si>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</si>
  <si>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</si>
  <si>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</si>
  <si>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</si>
  <si>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</si>
  <si>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</si>
  <si>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</si>
  <si>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</si>
  <si>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</si>
  <si>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</si>
  <si>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</si>
  <si>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</si>
  <si>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</si>
  <si>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</si>
  <si>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</si>
  <si>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</si>
  <si>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</si>
  <si>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</si>
  <si>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</si>
  <si>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</si>
  <si>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</si>
  <si>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</si>
  <si>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</si>
  <si>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</si>
  <si>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</si>
  <si>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</si>
  <si>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</si>
  <si>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</si>
  <si>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</si>
  <si>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</si>
  <si>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</si>
  <si>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</si>
  <si>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</si>
  <si>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</si>
  <si>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</si>
  <si>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</si>
  <si>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</si>
  <si>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</si>
  <si>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</si>
  <si>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</si>
  <si>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</si>
  <si>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</si>
  <si>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</si>
  <si>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</si>
  <si>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</si>
  <si>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</si>
  <si>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</si>
  <si>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</si>
  <si>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</si>
  <si>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</si>
  <si>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</si>
  <si>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</si>
  <si>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</si>
  <si>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</si>
  <si>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</si>
  <si>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</si>
  <si>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</si>
  <si>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</si>
  <si>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</si>
  <si>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</si>
  <si>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</si>
  <si>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</si>
  <si>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</si>
  <si>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</si>
  <si>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</si>
  <si>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</si>
  <si>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</si>
  <si>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</si>
  <si>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</si>
  <si>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</si>
  <si>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</si>
  <si>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</si>
  <si>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</si>
  <si>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</si>
  <si>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</si>
  <si>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</si>
  <si>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</si>
  <si>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</si>
  <si>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</si>
  <si>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</si>
  <si>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</si>
  <si>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</si>
  <si>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</si>
  <si>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</si>
  <si>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</si>
  <si>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</si>
  <si>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</si>
  <si>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</si>
  <si>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</si>
  <si>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</si>
  <si>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</si>
  <si>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</si>
  <si>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</si>
  <si>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</si>
  <si>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</si>
  <si>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</si>
  <si>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</si>
  <si>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</si>
  <si>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</si>
  <si>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</si>
  <si>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</si>
  <si>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</si>
  <si>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</si>
  <si>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</si>
  <si>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</si>
  <si>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</si>
  <si>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</si>
  <si>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</si>
  <si>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</si>
  <si>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</si>
  <si>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</si>
  <si>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</si>
  <si>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</si>
  <si>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</si>
  <si>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</si>
  <si>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</si>
  <si>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</si>
  <si>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</si>
  <si>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</si>
  <si>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</si>
  <si>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</si>
  <si>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</si>
  <si>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</si>
  <si>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</si>
  <si>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</si>
  <si>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</si>
  <si>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</si>
  <si>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</si>
  <si>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</si>
  <si>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</si>
  <si>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</si>
  <si>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</si>
  <si>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</si>
  <si>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</si>
  <si>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</si>
  <si>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</si>
  <si>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</si>
  <si>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</si>
  <si>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</si>
  <si>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</si>
  <si>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</si>
  <si>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</si>
  <si>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</si>
  <si>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</si>
  <si>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</si>
  <si>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</si>
  <si>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</si>
  <si>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</si>
  <si>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</si>
  <si>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</si>
  <si>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</si>
  <si>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</si>
  <si>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</si>
  <si>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</si>
  <si>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</si>
  <si>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</si>
  <si>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</si>
  <si>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</si>
  <si>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</si>
  <si>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</si>
  <si>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</si>
  <si>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</si>
  <si>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</si>
  <si>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</si>
  <si>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</si>
  <si>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</si>
  <si>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</si>
  <si>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</si>
  <si>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</si>
  <si>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</si>
  <si>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</si>
  <si>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</si>
  <si>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</si>
  <si>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</si>
  <si>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</si>
  <si>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</si>
  <si>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</si>
  <si>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</si>
  <si>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</si>
  <si>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</si>
  <si>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</si>
  <si>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</si>
  <si>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</si>
  <si>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</si>
  <si>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</si>
  <si>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</si>
  <si>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</si>
  <si>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</si>
  <si>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</si>
  <si>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</si>
  <si>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</si>
  <si>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</si>
  <si>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</si>
  <si>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</si>
  <si>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</si>
  <si>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</si>
  <si>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</si>
  <si>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</si>
  <si>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</si>
  <si>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</si>
  <si>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</si>
  <si>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</si>
  <si>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</si>
  <si>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</si>
  <si>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</si>
  <si>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</si>
  <si>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</si>
  <si>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</si>
  <si>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</si>
  <si>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</si>
  <si>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</si>
  <si>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</si>
  <si>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</si>
  <si>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</si>
  <si>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</si>
  <si>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</si>
  <si>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</si>
  <si>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</si>
  <si>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</si>
  <si>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</si>
  <si>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</si>
  <si>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</si>
  <si>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</si>
  <si>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</si>
  <si>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</si>
  <si>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</si>
  <si>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</si>
  <si>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</si>
  <si>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</si>
  <si>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</si>
  <si>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</si>
  <si>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</si>
  <si>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</si>
  <si>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</si>
  <si>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</si>
  <si>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</si>
  <si>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</si>
  <si>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</si>
  <si>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</si>
  <si>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</si>
  <si>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</si>
  <si>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</si>
  <si>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</si>
  <si>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</si>
  <si>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</si>
  <si>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</si>
  <si>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</si>
  <si>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</si>
  <si>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</si>
  <si>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</si>
  <si>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</si>
  <si>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</si>
  <si>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</si>
  <si>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</si>
  <si>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</si>
  <si>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</si>
  <si>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</si>
  <si>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</si>
  <si>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</si>
  <si>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</si>
  <si>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</si>
  <si>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</si>
  <si>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</si>
  <si>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</si>
  <si>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</si>
  <si>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</si>
  <si>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</si>
  <si>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</si>
  <si>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</si>
  <si>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</si>
  <si>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</si>
  <si>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</si>
  <si>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</si>
  <si>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</si>
  <si>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</si>
  <si>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</si>
  <si>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</si>
  <si>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</si>
  <si>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</si>
  <si>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</si>
  <si>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</si>
  <si>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</si>
  <si>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</si>
  <si>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</si>
  <si>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</si>
  <si>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</si>
  <si>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</si>
  <si>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</si>
  <si>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</si>
  <si>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</si>
  <si>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</si>
  <si>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</si>
  <si>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</si>
  <si>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</si>
  <si>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</si>
  <si>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</si>
  <si>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</si>
  <si>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</si>
  <si>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</si>
  <si>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</si>
  <si>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</si>
  <si>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</si>
  <si>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</si>
  <si>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</si>
  <si>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</si>
  <si>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</si>
  <si>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</si>
  <si>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</si>
  <si>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</si>
  <si>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</si>
  <si>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</si>
  <si>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</si>
  <si>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</si>
  <si>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</si>
  <si>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</si>
  <si>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</si>
  <si>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</si>
  <si>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</si>
  <si>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</si>
  <si>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</si>
  <si>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</si>
  <si>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</si>
  <si>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</si>
  <si>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</si>
  <si>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</si>
  <si>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</si>
  <si>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</si>
  <si>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</si>
  <si>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</si>
  <si>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</si>
  <si>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</si>
  <si>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</si>
  <si>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</si>
  <si>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</si>
  <si>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</si>
  <si>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</si>
  <si>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</si>
  <si>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</si>
  <si>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</si>
  <si>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</si>
  <si>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</si>
  <si>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</si>
  <si>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</si>
  <si>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</si>
  <si>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</si>
  <si>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</si>
  <si>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</si>
  <si>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</si>
  <si>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</si>
  <si>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</si>
  <si>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</si>
  <si>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</si>
  <si>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</si>
  <si>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</si>
  <si>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</si>
  <si>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</si>
  <si>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</si>
  <si>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</si>
  <si>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</si>
  <si>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</si>
  <si>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</si>
  <si>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</si>
  <si>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</si>
  <si>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</si>
  <si>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</si>
  <si>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</si>
  <si>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</si>
  <si>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</si>
  <si>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</si>
  <si>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</si>
  <si>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</si>
  <si>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</si>
  <si>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</si>
  <si>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</si>
  <si>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</si>
  <si>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</si>
  <si>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</si>
  <si>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</si>
  <si>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</si>
  <si>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</si>
  <si>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</si>
  <si>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</si>
  <si>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</si>
  <si>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</si>
  <si>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</si>
  <si>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</si>
  <si>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</si>
  <si>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</si>
  <si>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</si>
  <si>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</si>
  <si>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</si>
  <si>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</si>
  <si>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</si>
  <si>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</si>
  <si>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</si>
  <si>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</si>
  <si>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</si>
  <si>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</si>
  <si>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</si>
  <si>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</si>
  <si>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</si>
  <si>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</si>
  <si>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</si>
  <si>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</si>
  <si>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</si>
  <si>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</si>
  <si>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</si>
  <si>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</si>
  <si>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</si>
  <si>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</si>
  <si>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</si>
  <si>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</si>
  <si>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</si>
  <si>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</si>
  <si>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</si>
  <si>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</si>
  <si>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</si>
  <si>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</si>
  <si>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</si>
  <si>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</si>
  <si>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</si>
  <si>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</si>
  <si>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</si>
  <si>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</si>
  <si>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</si>
  <si>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</si>
  <si>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</si>
  <si>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</si>
  <si>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</si>
  <si>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</si>
  <si>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</si>
  <si>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</si>
  <si>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</si>
  <si>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</si>
  <si>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</si>
  <si>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</si>
  <si>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</si>
  <si>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</si>
  <si>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</si>
  <si>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</si>
  <si>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</si>
  <si>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</si>
  <si>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</si>
  <si>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</si>
  <si>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</si>
  <si>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</si>
  <si>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</si>
  <si>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</si>
  <si>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</si>
  <si>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</si>
  <si>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</si>
  <si>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</si>
  <si>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</si>
  <si>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</si>
  <si>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</si>
  <si>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</si>
  <si>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</si>
  <si>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</si>
  <si>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</si>
  <si>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</si>
  <si>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</si>
  <si>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</si>
  <si>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</si>
  <si>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</si>
  <si>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</si>
  <si>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</si>
  <si>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</si>
  <si>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</si>
  <si>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</si>
  <si>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</si>
  <si>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</si>
  <si>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</si>
  <si>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</si>
  <si>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</si>
  <si>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</si>
  <si>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</si>
  <si>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</si>
  <si>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</si>
  <si>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</si>
  <si>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</si>
  <si>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</si>
  <si>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</si>
  <si>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</si>
  <si>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</si>
  <si>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</si>
  <si>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</si>
  <si>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</si>
  <si>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</si>
  <si>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</si>
  <si>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</si>
  <si>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</si>
  <si>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</si>
  <si>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</si>
  <si>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</si>
  <si>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</si>
  <si>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</si>
  <si>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</si>
  <si>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</si>
  <si>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</si>
  <si>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</si>
  <si>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</si>
  <si>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Correct prior year interfund receivable.</t>
  </si>
  <si>
    <t>06/05</t>
  </si>
  <si>
    <t>10/14</t>
  </si>
  <si>
    <t>Merrimack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</si>
</sst>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352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2511165</v>
      </c>
      <c r="G9" s="18">
        <v>25007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2326+32180</f>
        <v>34506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218850</v>
      </c>
      <c r="G12" s="18"/>
      <c r="H12" s="18">
        <f>40157+12711+14524-1</f>
        <v>67391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96441</v>
      </c>
      <c r="H13" s="18">
        <f>183590</f>
        <v>183590</v>
      </c>
      <c r="I13" s="18"/>
      <c r="J13" s="67">
        <f>SUM(I442)</f>
        <v>555585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118548-963+1601-575+2</f>
        <v>118613</v>
      </c>
      <c r="G14" s="18">
        <v>2594</v>
      </c>
      <c r="H14" s="18">
        <f>362+4366-420+14790</f>
        <v>19098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33952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2883134</v>
      </c>
      <c r="G19" s="41">
        <f>SUM(G9:G18)</f>
        <v>157994</v>
      </c>
      <c r="H19" s="41">
        <f>SUM(H9:H18)</f>
        <v>270079</v>
      </c>
      <c r="I19" s="41">
        <f>SUM(I9:I18)</f>
        <v>0</v>
      </c>
      <c r="J19" s="41">
        <f>SUM(J9:J18)</f>
        <v>555585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154570</v>
      </c>
      <c r="H22" s="18">
        <v>131671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128094</v>
      </c>
      <c r="G24" s="18">
        <v>1993</v>
      </c>
      <c r="H24" s="18">
        <v>1203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174+1543805+15645+150+14+645-2474</f>
        <v>1557959</v>
      </c>
      <c r="G28" s="18">
        <v>962</v>
      </c>
      <c r="H28" s="18">
        <v>51078</v>
      </c>
      <c r="I28" s="18">
        <v>79023</v>
      </c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f>41815+27087-4</f>
        <v>68898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1686053</v>
      </c>
      <c r="G32" s="41">
        <f>SUM(G22:G31)</f>
        <v>157525</v>
      </c>
      <c r="H32" s="41">
        <f>SUM(H22:H31)</f>
        <v>252850</v>
      </c>
      <c r="I32" s="41">
        <f>SUM(I22:I31)</f>
        <v>79023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33952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469-33952</f>
        <v>-33483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17229</v>
      </c>
      <c r="I48" s="18">
        <v>-79023</v>
      </c>
      <c r="J48" s="13">
        <f>SUM(I459)</f>
        <v>555585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200000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1197081-200000</f>
        <v>997081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1197081</v>
      </c>
      <c r="G51" s="41">
        <f>SUM(G35:G50)</f>
        <v>469</v>
      </c>
      <c r="H51" s="41">
        <f>SUM(H35:H50)</f>
        <v>17229</v>
      </c>
      <c r="I51" s="41">
        <f>SUM(I35:I50)</f>
        <v>-79023</v>
      </c>
      <c r="J51" s="41">
        <f>SUM(J35:J50)</f>
        <v>555585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2883134</v>
      </c>
      <c r="G52" s="41">
        <f>G51+G32</f>
        <v>157994</v>
      </c>
      <c r="H52" s="41">
        <f>H51+H32</f>
        <v>270079</v>
      </c>
      <c r="I52" s="41">
        <f>I51+I32</f>
        <v>0</v>
      </c>
      <c r="J52" s="41">
        <f>J51+J32</f>
        <v>555585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6323123+3329020+6438166+1764486+2397311</f>
        <v>20252106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20252106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654661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119962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774623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30+4</f>
        <v>34</v>
      </c>
      <c r="G96" s="18">
        <v>841</v>
      </c>
      <c r="H96" s="18"/>
      <c r="I96" s="18"/>
      <c r="J96" s="18">
        <v>6062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56821+23179+82597+16833+15516+159047+257135</f>
        <v>611128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27510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40267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570</v>
      </c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25568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7761</v>
      </c>
      <c r="G110" s="18">
        <v>15186</v>
      </c>
      <c r="H110" s="18">
        <v>251</v>
      </c>
      <c r="I110" s="18"/>
      <c r="J110" s="18">
        <v>568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73630</v>
      </c>
      <c r="G111" s="41">
        <f>SUM(G96:G110)</f>
        <v>627155</v>
      </c>
      <c r="H111" s="41">
        <f>SUM(H96:H110)</f>
        <v>28331</v>
      </c>
      <c r="I111" s="41">
        <f>SUM(I96:I110)</f>
        <v>0</v>
      </c>
      <c r="J111" s="41">
        <f>SUM(J96:J110)</f>
        <v>6630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21100359</v>
      </c>
      <c r="G112" s="41">
        <f>G60+G111</f>
        <v>627155</v>
      </c>
      <c r="H112" s="41">
        <f>H60+H79+H94+H111</f>
        <v>28331</v>
      </c>
      <c r="I112" s="41">
        <f>I60+I111</f>
        <v>0</v>
      </c>
      <c r="J112" s="41">
        <f>J60+J111</f>
        <v>6630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10223219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3313011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13536230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1344390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187962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19415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14659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38307</v>
      </c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1551767</v>
      </c>
      <c r="G136" s="41">
        <f>SUM(G123:G135)</f>
        <v>14659</v>
      </c>
      <c r="H136" s="41">
        <f>SUM(H123:H135)</f>
        <v>38307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15087997</v>
      </c>
      <c r="G140" s="41">
        <f>G121+SUM(G136:G137)</f>
        <v>14659</v>
      </c>
      <c r="H140" s="41">
        <f>H121+SUM(H136:H139)</f>
        <v>38307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54230</v>
      </c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54230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513159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9519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445632+28262+53068-1</f>
        <v>526961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537467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542012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127300</v>
      </c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542012</v>
      </c>
      <c r="G162" s="41">
        <f>SUM(G150:G161)</f>
        <v>526961</v>
      </c>
      <c r="H162" s="41">
        <f>SUM(H150:H161)</f>
        <v>1187445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542012</v>
      </c>
      <c r="G169" s="41">
        <f>G147+G162+SUM(G163:G168)</f>
        <v>526961</v>
      </c>
      <c r="H169" s="41">
        <f>H147+H162+SUM(H163:H168)</f>
        <v>1241675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16533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16533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16533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36730368</v>
      </c>
      <c r="G193" s="47">
        <f>G112+G140+G169+G192</f>
        <v>1185308</v>
      </c>
      <c r="H193" s="47">
        <f>H112+H140+H169+H192</f>
        <v>1308313</v>
      </c>
      <c r="I193" s="47">
        <f>I112+I140+I169+I192</f>
        <v>0</v>
      </c>
      <c r="J193" s="47">
        <f>J112+J140+J192</f>
        <v>6630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4163549+191819</f>
        <v>4355368</v>
      </c>
      <c r="G197" s="18">
        <v>1756105</v>
      </c>
      <c r="H197" s="18">
        <v>7051</v>
      </c>
      <c r="I197" s="18">
        <f>98562+81698</f>
        <v>180260</v>
      </c>
      <c r="J197" s="18">
        <v>34020</v>
      </c>
      <c r="K197" s="18"/>
      <c r="L197" s="19">
        <f>SUM(F197:K197)</f>
        <v>6332804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1711985+50805</f>
        <v>1762790</v>
      </c>
      <c r="G198" s="18">
        <v>747097</v>
      </c>
      <c r="H198" s="18">
        <f>322791+51753</f>
        <v>374544</v>
      </c>
      <c r="I198" s="18">
        <f>3986+1500</f>
        <v>5486</v>
      </c>
      <c r="J198" s="18">
        <v>1376</v>
      </c>
      <c r="K198" s="18"/>
      <c r="L198" s="19">
        <f>SUM(F198:K198)</f>
        <v>2891293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17700</v>
      </c>
      <c r="G200" s="18">
        <v>37886</v>
      </c>
      <c r="H200" s="18"/>
      <c r="I200" s="18"/>
      <c r="J200" s="18"/>
      <c r="K200" s="18">
        <v>119</v>
      </c>
      <c r="L200" s="19">
        <f>SUM(F200:K200)</f>
        <v>55705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645761+450664</f>
        <v>1096425</v>
      </c>
      <c r="G202" s="18">
        <v>474933</v>
      </c>
      <c r="H202" s="18">
        <f>199240+19790</f>
        <v>219030</v>
      </c>
      <c r="I202" s="18">
        <f>6128+281</f>
        <v>6409</v>
      </c>
      <c r="J202" s="18">
        <v>487</v>
      </c>
      <c r="K202" s="18">
        <v>867</v>
      </c>
      <c r="L202" s="19">
        <f t="shared" ref="L202:L208" si="0">SUM(F202:K202)</f>
        <v>1798151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91360+170359</f>
        <v>261719</v>
      </c>
      <c r="G203" s="18">
        <v>140216</v>
      </c>
      <c r="H203" s="18">
        <f>200+58167</f>
        <v>58367</v>
      </c>
      <c r="I203" s="18">
        <f>7052+11189</f>
        <v>18241</v>
      </c>
      <c r="J203" s="18">
        <v>61443</v>
      </c>
      <c r="K203" s="18"/>
      <c r="L203" s="19">
        <f t="shared" si="0"/>
        <v>539986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21502</v>
      </c>
      <c r="G204" s="18">
        <v>10615</v>
      </c>
      <c r="H204" s="18">
        <f>225+371523</f>
        <v>371748</v>
      </c>
      <c r="I204" s="18">
        <v>1297</v>
      </c>
      <c r="J204" s="18"/>
      <c r="K204" s="18">
        <v>2462</v>
      </c>
      <c r="L204" s="19">
        <f t="shared" si="0"/>
        <v>407624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526074</v>
      </c>
      <c r="G205" s="18">
        <v>216763</v>
      </c>
      <c r="H205" s="18">
        <v>31329</v>
      </c>
      <c r="I205" s="18">
        <f>5875+684</f>
        <v>6559</v>
      </c>
      <c r="J205" s="18">
        <v>19463</v>
      </c>
      <c r="K205" s="18">
        <v>3322</v>
      </c>
      <c r="L205" s="19">
        <f t="shared" si="0"/>
        <v>803510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1985</v>
      </c>
      <c r="I206" s="18"/>
      <c r="J206" s="18"/>
      <c r="K206" s="18"/>
      <c r="L206" s="19">
        <f t="shared" si="0"/>
        <v>1985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399748+239385</f>
        <v>639133</v>
      </c>
      <c r="G207" s="18">
        <v>251619</v>
      </c>
      <c r="H207" s="18">
        <f>146949+193589</f>
        <v>340538</v>
      </c>
      <c r="I207" s="18">
        <f>481667+64964</f>
        <v>546631</v>
      </c>
      <c r="J207" s="18">
        <v>15980</v>
      </c>
      <c r="K207" s="18"/>
      <c r="L207" s="19">
        <f t="shared" si="0"/>
        <v>1793901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42602+401862</f>
        <v>444464</v>
      </c>
      <c r="G208" s="18">
        <v>170987</v>
      </c>
      <c r="H208" s="18">
        <v>120956</v>
      </c>
      <c r="I208" s="18">
        <v>99764</v>
      </c>
      <c r="J208" s="18">
        <v>81394</v>
      </c>
      <c r="K208" s="18">
        <v>271</v>
      </c>
      <c r="L208" s="19">
        <f t="shared" si="0"/>
        <v>917836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9125175</v>
      </c>
      <c r="G211" s="41">
        <f t="shared" si="1"/>
        <v>3806221</v>
      </c>
      <c r="H211" s="41">
        <f t="shared" si="1"/>
        <v>1525548</v>
      </c>
      <c r="I211" s="41">
        <f t="shared" si="1"/>
        <v>864647</v>
      </c>
      <c r="J211" s="41">
        <f t="shared" si="1"/>
        <v>214163</v>
      </c>
      <c r="K211" s="41">
        <f t="shared" si="1"/>
        <v>7041</v>
      </c>
      <c r="L211" s="41">
        <f t="shared" si="1"/>
        <v>15542795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2191607+102923</f>
        <v>2294530</v>
      </c>
      <c r="G215" s="18">
        <v>942260</v>
      </c>
      <c r="H215" s="18">
        <v>2133</v>
      </c>
      <c r="I215" s="18">
        <f>27950+43836</f>
        <v>71786</v>
      </c>
      <c r="J215" s="18">
        <v>18512</v>
      </c>
      <c r="K215" s="18"/>
      <c r="L215" s="19">
        <f>SUM(F215:K215)</f>
        <v>3329221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698126+27260</f>
        <v>725386</v>
      </c>
      <c r="G216" s="18">
        <v>400865</v>
      </c>
      <c r="H216" s="18">
        <f>245185+27769</f>
        <v>272954</v>
      </c>
      <c r="I216" s="18">
        <f>3550+805</f>
        <v>4355</v>
      </c>
      <c r="J216" s="18">
        <f>750+738</f>
        <v>1488</v>
      </c>
      <c r="K216" s="18"/>
      <c r="L216" s="19">
        <f>SUM(F216:K216)</f>
        <v>1405048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65535</v>
      </c>
      <c r="G218" s="18">
        <v>20328</v>
      </c>
      <c r="H218" s="18"/>
      <c r="I218" s="18">
        <v>40199</v>
      </c>
      <c r="J218" s="18"/>
      <c r="K218" s="18">
        <v>64</v>
      </c>
      <c r="L218" s="19">
        <f>SUM(F218:K218)</f>
        <v>126126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377540+241809</f>
        <v>619349</v>
      </c>
      <c r="G220" s="18">
        <v>254831</v>
      </c>
      <c r="H220" s="18">
        <f>119454+10619</f>
        <v>130073</v>
      </c>
      <c r="I220" s="18">
        <f>2792+151</f>
        <v>2943</v>
      </c>
      <c r="J220" s="18">
        <f>983+261</f>
        <v>1244</v>
      </c>
      <c r="K220" s="18">
        <f>100+465</f>
        <v>565</v>
      </c>
      <c r="L220" s="19">
        <f t="shared" ref="L220:L226" si="2">SUM(F220:K220)</f>
        <v>1009005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76950+91408</f>
        <v>168358</v>
      </c>
      <c r="G221" s="18">
        <v>75234</v>
      </c>
      <c r="H221" s="18">
        <v>31210</v>
      </c>
      <c r="I221" s="18">
        <f>12624+6004</f>
        <v>18628</v>
      </c>
      <c r="J221" s="18">
        <v>32968</v>
      </c>
      <c r="K221" s="18">
        <v>28</v>
      </c>
      <c r="L221" s="19">
        <f t="shared" si="2"/>
        <v>326426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11537</v>
      </c>
      <c r="G222" s="18">
        <v>5696</v>
      </c>
      <c r="H222" s="18">
        <f>1500+199346</f>
        <v>200846</v>
      </c>
      <c r="I222" s="18">
        <v>696</v>
      </c>
      <c r="J222" s="18"/>
      <c r="K222" s="18">
        <v>1321</v>
      </c>
      <c r="L222" s="19">
        <f t="shared" si="2"/>
        <v>220096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277921</v>
      </c>
      <c r="G223" s="18">
        <v>116307</v>
      </c>
      <c r="H223" s="18">
        <v>14801</v>
      </c>
      <c r="I223" s="18">
        <v>367</v>
      </c>
      <c r="J223" s="18">
        <v>10443</v>
      </c>
      <c r="K223" s="18">
        <v>664</v>
      </c>
      <c r="L223" s="19">
        <f t="shared" si="2"/>
        <v>420503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>
        <v>1065</v>
      </c>
      <c r="I224" s="18"/>
      <c r="J224" s="18"/>
      <c r="K224" s="18"/>
      <c r="L224" s="19">
        <f t="shared" si="2"/>
        <v>1065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147215+128445</f>
        <v>275660</v>
      </c>
      <c r="G225" s="18">
        <v>135009</v>
      </c>
      <c r="H225" s="18">
        <f>68684+103872</f>
        <v>172556</v>
      </c>
      <c r="I225" s="18">
        <f>115400+34857</f>
        <v>150257</v>
      </c>
      <c r="J225" s="18">
        <v>8574</v>
      </c>
      <c r="K225" s="18"/>
      <c r="L225" s="19">
        <f t="shared" si="2"/>
        <v>742056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9750+215624</f>
        <v>225374</v>
      </c>
      <c r="G226" s="18">
        <v>91745</v>
      </c>
      <c r="H226" s="18">
        <v>64901</v>
      </c>
      <c r="I226" s="18">
        <v>53530</v>
      </c>
      <c r="J226" s="18">
        <v>43673</v>
      </c>
      <c r="K226" s="18">
        <v>146</v>
      </c>
      <c r="L226" s="19">
        <f t="shared" si="2"/>
        <v>479369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4663650</v>
      </c>
      <c r="G229" s="41">
        <f>SUM(G215:G228)</f>
        <v>2042275</v>
      </c>
      <c r="H229" s="41">
        <f>SUM(H215:H228)</f>
        <v>890539</v>
      </c>
      <c r="I229" s="41">
        <f>SUM(I215:I228)</f>
        <v>342761</v>
      </c>
      <c r="J229" s="41">
        <f>SUM(J215:J228)</f>
        <v>116902</v>
      </c>
      <c r="K229" s="41">
        <f t="shared" si="3"/>
        <v>2788</v>
      </c>
      <c r="L229" s="41">
        <f t="shared" si="3"/>
        <v>8058915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2378840+140116</f>
        <v>2518956</v>
      </c>
      <c r="G233" s="18">
        <v>1282765</v>
      </c>
      <c r="H233" s="18">
        <v>5016</v>
      </c>
      <c r="I233" s="18">
        <f>83149+59677</f>
        <v>142826</v>
      </c>
      <c r="J233" s="18">
        <v>28068</v>
      </c>
      <c r="K233" s="18"/>
      <c r="L233" s="19">
        <f>SUM(F233:K233)</f>
        <v>3977631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1070725+37111</f>
        <v>1107836</v>
      </c>
      <c r="G234" s="18">
        <v>545725</v>
      </c>
      <c r="H234" s="18">
        <f>456635+37804</f>
        <v>494439</v>
      </c>
      <c r="I234" s="18">
        <f>3575+1096</f>
        <v>4671</v>
      </c>
      <c r="J234" s="18">
        <f>750+1005</f>
        <v>1755</v>
      </c>
      <c r="K234" s="18"/>
      <c r="L234" s="19">
        <f>SUM(F234:K234)</f>
        <v>2154426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205913</v>
      </c>
      <c r="I235" s="18"/>
      <c r="J235" s="18"/>
      <c r="K235" s="18"/>
      <c r="L235" s="19">
        <f>SUM(F235:K235)</f>
        <v>205913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266131</v>
      </c>
      <c r="G236" s="18">
        <v>27674</v>
      </c>
      <c r="H236" s="18">
        <v>35256</v>
      </c>
      <c r="I236" s="18">
        <v>50396</v>
      </c>
      <c r="J236" s="18"/>
      <c r="K236" s="18">
        <f>5115+87</f>
        <v>5202</v>
      </c>
      <c r="L236" s="19">
        <f>SUM(F236:K236)</f>
        <v>384659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423346+329192</f>
        <v>752538</v>
      </c>
      <c r="G238" s="18">
        <v>346920</v>
      </c>
      <c r="H238" s="18">
        <f>193527+14456</f>
        <v>207983</v>
      </c>
      <c r="I238" s="18">
        <f>2849+205</f>
        <v>3054</v>
      </c>
      <c r="J238" s="18">
        <v>356</v>
      </c>
      <c r="K238" s="18">
        <v>633</v>
      </c>
      <c r="L238" s="19">
        <f t="shared" ref="L238:L244" si="4">SUM(F238:K238)</f>
        <v>1311484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104544+124440</f>
        <v>228984</v>
      </c>
      <c r="G239" s="18">
        <v>102422</v>
      </c>
      <c r="H239" s="18">
        <v>42489</v>
      </c>
      <c r="I239" s="18">
        <f>11887+8173</f>
        <v>20060</v>
      </c>
      <c r="J239" s="18">
        <f>1300+44882</f>
        <v>46182</v>
      </c>
      <c r="K239" s="18"/>
      <c r="L239" s="19">
        <f t="shared" si="4"/>
        <v>440137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15706</v>
      </c>
      <c r="G240" s="18">
        <v>7754</v>
      </c>
      <c r="H240" s="18">
        <f>852+271383</f>
        <v>272235</v>
      </c>
      <c r="I240" s="18">
        <v>947</v>
      </c>
      <c r="J240" s="18"/>
      <c r="K240" s="18">
        <v>1798</v>
      </c>
      <c r="L240" s="19">
        <f t="shared" si="4"/>
        <v>298440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369534</v>
      </c>
      <c r="G241" s="18">
        <v>158336</v>
      </c>
      <c r="H241" s="18">
        <v>23014</v>
      </c>
      <c r="I241" s="18">
        <v>499</v>
      </c>
      <c r="J241" s="18">
        <v>14217</v>
      </c>
      <c r="K241" s="18">
        <v>16452</v>
      </c>
      <c r="L241" s="19">
        <f t="shared" si="4"/>
        <v>582052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1450</v>
      </c>
      <c r="I242" s="18"/>
      <c r="J242" s="18"/>
      <c r="K242" s="18"/>
      <c r="L242" s="19">
        <f t="shared" si="4"/>
        <v>1450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209263+174862</f>
        <v>384125</v>
      </c>
      <c r="G243" s="18">
        <v>183798</v>
      </c>
      <c r="H243" s="18">
        <f>91811+141409</f>
        <v>233220</v>
      </c>
      <c r="I243" s="18">
        <f>173935+47453</f>
        <v>221388</v>
      </c>
      <c r="J243" s="18">
        <v>11673</v>
      </c>
      <c r="K243" s="18"/>
      <c r="L243" s="19">
        <f t="shared" si="4"/>
        <v>1034204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59261+293544</f>
        <v>352805</v>
      </c>
      <c r="G244" s="18">
        <v>124899</v>
      </c>
      <c r="H244" s="18">
        <v>88354</v>
      </c>
      <c r="I244" s="18">
        <v>72874</v>
      </c>
      <c r="J244" s="18">
        <v>59455</v>
      </c>
      <c r="K244" s="18">
        <v>198</v>
      </c>
      <c r="L244" s="19">
        <f t="shared" si="4"/>
        <v>698585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5996615</v>
      </c>
      <c r="G247" s="41">
        <f t="shared" si="5"/>
        <v>2780293</v>
      </c>
      <c r="H247" s="41">
        <f t="shared" si="5"/>
        <v>1609369</v>
      </c>
      <c r="I247" s="41">
        <f t="shared" si="5"/>
        <v>516715</v>
      </c>
      <c r="J247" s="41">
        <f t="shared" si="5"/>
        <v>161706</v>
      </c>
      <c r="K247" s="41">
        <f t="shared" si="5"/>
        <v>24283</v>
      </c>
      <c r="L247" s="41">
        <f t="shared" si="5"/>
        <v>11088981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>
        <v>-97</v>
      </c>
      <c r="H253" s="18"/>
      <c r="I253" s="18"/>
      <c r="J253" s="18"/>
      <c r="K253" s="18"/>
      <c r="L253" s="19">
        <f t="shared" si="6"/>
        <v>-97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141040</v>
      </c>
      <c r="I255" s="18"/>
      <c r="J255" s="18"/>
      <c r="K255" s="18"/>
      <c r="L255" s="19">
        <f t="shared" si="6"/>
        <v>141040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-97</v>
      </c>
      <c r="H256" s="41">
        <f t="shared" si="7"/>
        <v>141040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140943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19785440</v>
      </c>
      <c r="G257" s="41">
        <f t="shared" si="8"/>
        <v>8628692</v>
      </c>
      <c r="H257" s="41">
        <f t="shared" si="8"/>
        <v>4166496</v>
      </c>
      <c r="I257" s="41">
        <f t="shared" si="8"/>
        <v>1724123</v>
      </c>
      <c r="J257" s="41">
        <f t="shared" si="8"/>
        <v>492771</v>
      </c>
      <c r="K257" s="41">
        <f t="shared" si="8"/>
        <v>34112</v>
      </c>
      <c r="L257" s="41">
        <f t="shared" si="8"/>
        <v>34831634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1980000</v>
      </c>
      <c r="L260" s="19">
        <f>SUM(F260:K260)</f>
        <v>1980000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34650</v>
      </c>
      <c r="L261" s="19">
        <f>SUM(F261:K261)</f>
        <v>34650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16533</v>
      </c>
      <c r="L263" s="19">
        <f>SUM(F263:K263)</f>
        <v>16533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2031183</v>
      </c>
      <c r="L270" s="41">
        <f t="shared" si="9"/>
        <v>2031183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19785440</v>
      </c>
      <c r="G271" s="42">
        <f t="shared" si="11"/>
        <v>8628692</v>
      </c>
      <c r="H271" s="42">
        <f t="shared" si="11"/>
        <v>4166496</v>
      </c>
      <c r="I271" s="42">
        <f t="shared" si="11"/>
        <v>1724123</v>
      </c>
      <c r="J271" s="42">
        <f t="shared" si="11"/>
        <v>492771</v>
      </c>
      <c r="K271" s="42">
        <f t="shared" si="11"/>
        <v>2065295</v>
      </c>
      <c r="L271" s="42">
        <f t="shared" si="11"/>
        <v>36862817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239410+227-1</f>
        <v>239636</v>
      </c>
      <c r="G276" s="18">
        <v>43253</v>
      </c>
      <c r="H276" s="18">
        <f>625+432</f>
        <v>1057</v>
      </c>
      <c r="I276" s="18">
        <f>19722+15777-1</f>
        <v>35498</v>
      </c>
      <c r="J276" s="18">
        <f>2483+8357</f>
        <v>10840</v>
      </c>
      <c r="K276" s="18"/>
      <c r="L276" s="19">
        <f>SUM(F276:K276)</f>
        <v>330284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72600+11245</f>
        <v>83845</v>
      </c>
      <c r="G277" s="18">
        <v>42820</v>
      </c>
      <c r="H277" s="18">
        <f>252</f>
        <v>252</v>
      </c>
      <c r="I277" s="18">
        <f>559+15109</f>
        <v>15668</v>
      </c>
      <c r="J277" s="18">
        <v>5948</v>
      </c>
      <c r="K277" s="18"/>
      <c r="L277" s="19">
        <f>SUM(F277:K277)</f>
        <v>148533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16834</f>
        <v>16834</v>
      </c>
      <c r="G279" s="18">
        <v>1463</v>
      </c>
      <c r="H279" s="18">
        <v>270</v>
      </c>
      <c r="I279" s="18">
        <v>289</v>
      </c>
      <c r="J279" s="18"/>
      <c r="K279" s="18"/>
      <c r="L279" s="19">
        <f>SUM(F279:K279)</f>
        <v>18856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58856</v>
      </c>
      <c r="G281" s="18">
        <v>20530</v>
      </c>
      <c r="H281" s="18"/>
      <c r="I281" s="18">
        <v>217</v>
      </c>
      <c r="J281" s="18"/>
      <c r="K281" s="18"/>
      <c r="L281" s="19">
        <f t="shared" ref="L281:L287" si="12">SUM(F281:K281)</f>
        <v>79603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29942</v>
      </c>
      <c r="G282" s="18">
        <v>15086</v>
      </c>
      <c r="H282" s="18">
        <f>28219+9257</f>
        <v>37476</v>
      </c>
      <c r="I282" s="18">
        <f>6461+338</f>
        <v>6799</v>
      </c>
      <c r="J282" s="18">
        <f>5673+1769</f>
        <v>7442</v>
      </c>
      <c r="K282" s="18"/>
      <c r="L282" s="19">
        <f t="shared" si="12"/>
        <v>96745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5844</v>
      </c>
      <c r="G283" s="18">
        <v>447</v>
      </c>
      <c r="H283" s="18">
        <v>6266</v>
      </c>
      <c r="I283" s="18"/>
      <c r="J283" s="18"/>
      <c r="K283" s="18"/>
      <c r="L283" s="19">
        <f t="shared" si="12"/>
        <v>12557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10194</v>
      </c>
      <c r="L285" s="19">
        <f t="shared" si="12"/>
        <v>10194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1323</v>
      </c>
      <c r="I287" s="18"/>
      <c r="J287" s="18"/>
      <c r="K287" s="18"/>
      <c r="L287" s="19">
        <f t="shared" si="12"/>
        <v>1323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>
        <v>124</v>
      </c>
      <c r="J288" s="18"/>
      <c r="K288" s="18"/>
      <c r="L288" s="19">
        <f>SUM(F288:K288)</f>
        <v>124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434957</v>
      </c>
      <c r="G290" s="42">
        <f t="shared" si="13"/>
        <v>123599</v>
      </c>
      <c r="H290" s="42">
        <f t="shared" si="13"/>
        <v>46644</v>
      </c>
      <c r="I290" s="42">
        <f t="shared" si="13"/>
        <v>58595</v>
      </c>
      <c r="J290" s="42">
        <f t="shared" si="13"/>
        <v>24230</v>
      </c>
      <c r="K290" s="42">
        <f t="shared" si="13"/>
        <v>10194</v>
      </c>
      <c r="L290" s="41">
        <f t="shared" si="13"/>
        <v>698219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122</f>
        <v>122</v>
      </c>
      <c r="G295" s="18">
        <v>23208</v>
      </c>
      <c r="H295" s="18">
        <f>232</f>
        <v>232</v>
      </c>
      <c r="I295" s="18">
        <f>8465</f>
        <v>8465</v>
      </c>
      <c r="J295" s="18">
        <f>4484</f>
        <v>4484</v>
      </c>
      <c r="K295" s="18"/>
      <c r="L295" s="19">
        <f>SUM(F295:K295)</f>
        <v>36511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107870+6034</f>
        <v>113904</v>
      </c>
      <c r="G296" s="18">
        <v>22976</v>
      </c>
      <c r="H296" s="18">
        <f>135</f>
        <v>135</v>
      </c>
      <c r="I296" s="18">
        <f>1118+8107</f>
        <v>9225</v>
      </c>
      <c r="J296" s="18">
        <v>3192</v>
      </c>
      <c r="K296" s="18"/>
      <c r="L296" s="19">
        <f>SUM(F296:K296)</f>
        <v>149432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>
        <v>785</v>
      </c>
      <c r="H298" s="18">
        <v>145</v>
      </c>
      <c r="I298" s="18">
        <v>155</v>
      </c>
      <c r="J298" s="18"/>
      <c r="K298" s="18"/>
      <c r="L298" s="19">
        <f>SUM(F298:K298)</f>
        <v>1085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31580</v>
      </c>
      <c r="G300" s="18">
        <v>11016</v>
      </c>
      <c r="H300" s="18"/>
      <c r="I300" s="18">
        <v>117</v>
      </c>
      <c r="J300" s="18"/>
      <c r="K300" s="18"/>
      <c r="L300" s="19">
        <f t="shared" ref="L300:L306" si="14">SUM(F300:K300)</f>
        <v>42713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16066</v>
      </c>
      <c r="G301" s="18">
        <v>8095</v>
      </c>
      <c r="H301" s="18">
        <f>15141+4967</f>
        <v>20108</v>
      </c>
      <c r="I301" s="18">
        <f>3467+181</f>
        <v>3648</v>
      </c>
      <c r="J301" s="18">
        <f>3044+949</f>
        <v>3993</v>
      </c>
      <c r="K301" s="18"/>
      <c r="L301" s="19">
        <f t="shared" si="14"/>
        <v>51910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3136</v>
      </c>
      <c r="G302" s="18">
        <v>240</v>
      </c>
      <c r="H302" s="18">
        <v>3362</v>
      </c>
      <c r="I302" s="18"/>
      <c r="J302" s="18"/>
      <c r="K302" s="18"/>
      <c r="L302" s="19">
        <f t="shared" si="14"/>
        <v>6738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5470</v>
      </c>
      <c r="L304" s="19">
        <f t="shared" si="14"/>
        <v>5470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710</v>
      </c>
      <c r="I306" s="18"/>
      <c r="J306" s="18"/>
      <c r="K306" s="18"/>
      <c r="L306" s="19">
        <f t="shared" si="14"/>
        <v>710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>
        <v>67</v>
      </c>
      <c r="J307" s="18"/>
      <c r="K307" s="18"/>
      <c r="L307" s="19">
        <f>SUM(F307:K307)</f>
        <v>67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164808</v>
      </c>
      <c r="G309" s="42">
        <f t="shared" si="15"/>
        <v>66320</v>
      </c>
      <c r="H309" s="42">
        <f t="shared" si="15"/>
        <v>24692</v>
      </c>
      <c r="I309" s="42">
        <f t="shared" si="15"/>
        <v>21677</v>
      </c>
      <c r="J309" s="42">
        <f t="shared" si="15"/>
        <v>11669</v>
      </c>
      <c r="K309" s="42">
        <f t="shared" si="15"/>
        <v>5470</v>
      </c>
      <c r="L309" s="41">
        <f t="shared" si="15"/>
        <v>294636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166</f>
        <v>166</v>
      </c>
      <c r="G314" s="18">
        <v>31595</v>
      </c>
      <c r="H314" s="18">
        <f>316</f>
        <v>316</v>
      </c>
      <c r="I314" s="18">
        <f>11524+251</f>
        <v>11775</v>
      </c>
      <c r="J314" s="18">
        <f>6105</f>
        <v>6105</v>
      </c>
      <c r="K314" s="18"/>
      <c r="L314" s="19">
        <f>SUM(F314:K314)</f>
        <v>49957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8214</f>
        <v>8214</v>
      </c>
      <c r="G315" s="18">
        <v>31278</v>
      </c>
      <c r="H315" s="18">
        <f>184</f>
        <v>184</v>
      </c>
      <c r="I315" s="18">
        <f>466+11037</f>
        <v>11503</v>
      </c>
      <c r="J315" s="18">
        <f>4345</f>
        <v>4345</v>
      </c>
      <c r="K315" s="18"/>
      <c r="L315" s="19">
        <f>SUM(F315:K315)</f>
        <v>55524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>
        <v>1069</v>
      </c>
      <c r="H317" s="18">
        <v>197</v>
      </c>
      <c r="I317" s="18">
        <v>211</v>
      </c>
      <c r="J317" s="18"/>
      <c r="K317" s="18"/>
      <c r="L317" s="19">
        <f>SUM(F317:K317)</f>
        <v>1477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42992</v>
      </c>
      <c r="G319" s="18">
        <v>14997</v>
      </c>
      <c r="H319" s="18"/>
      <c r="I319" s="18">
        <v>159</v>
      </c>
      <c r="J319" s="18"/>
      <c r="K319" s="18"/>
      <c r="L319" s="19">
        <f t="shared" ref="L319:L325" si="16">SUM(F319:K319)</f>
        <v>58148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21871</v>
      </c>
      <c r="G320" s="18">
        <v>11020</v>
      </c>
      <c r="H320" s="18">
        <f>20613+6762</f>
        <v>27375</v>
      </c>
      <c r="I320" s="18">
        <f>4720+247</f>
        <v>4967</v>
      </c>
      <c r="J320" s="18">
        <f>4144+1292</f>
        <v>5436</v>
      </c>
      <c r="K320" s="18"/>
      <c r="L320" s="19">
        <f t="shared" si="16"/>
        <v>70669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4269</v>
      </c>
      <c r="G321" s="18">
        <v>327</v>
      </c>
      <c r="H321" s="18">
        <v>4577</v>
      </c>
      <c r="I321" s="18"/>
      <c r="J321" s="18"/>
      <c r="K321" s="18"/>
      <c r="L321" s="19">
        <f t="shared" si="16"/>
        <v>9173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7447</v>
      </c>
      <c r="L323" s="19">
        <f t="shared" si="16"/>
        <v>7447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967</v>
      </c>
      <c r="I325" s="18"/>
      <c r="J325" s="18"/>
      <c r="K325" s="18"/>
      <c r="L325" s="19">
        <f t="shared" si="16"/>
        <v>967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>
        <v>91</v>
      </c>
      <c r="J326" s="18"/>
      <c r="K326" s="18"/>
      <c r="L326" s="19">
        <f>SUM(F326:K326)</f>
        <v>91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77512</v>
      </c>
      <c r="G328" s="42">
        <f t="shared" si="17"/>
        <v>90286</v>
      </c>
      <c r="H328" s="42">
        <f t="shared" si="17"/>
        <v>33616</v>
      </c>
      <c r="I328" s="42">
        <f t="shared" si="17"/>
        <v>28706</v>
      </c>
      <c r="J328" s="42">
        <f t="shared" si="17"/>
        <v>15886</v>
      </c>
      <c r="K328" s="42">
        <f t="shared" si="17"/>
        <v>7447</v>
      </c>
      <c r="L328" s="41">
        <f t="shared" si="17"/>
        <v>253453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f>16587</f>
        <v>16587</v>
      </c>
      <c r="G335" s="18">
        <v>3293</v>
      </c>
      <c r="H335" s="18">
        <v>3818</v>
      </c>
      <c r="I335" s="18">
        <f>170</f>
        <v>170</v>
      </c>
      <c r="J335" s="18"/>
      <c r="K335" s="18"/>
      <c r="L335" s="19">
        <f t="shared" si="18"/>
        <v>23868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38137</v>
      </c>
      <c r="I336" s="18"/>
      <c r="J336" s="18"/>
      <c r="K336" s="18"/>
      <c r="L336" s="19">
        <f t="shared" si="18"/>
        <v>38137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16587</v>
      </c>
      <c r="G337" s="41">
        <f t="shared" si="19"/>
        <v>3293</v>
      </c>
      <c r="H337" s="41">
        <f t="shared" si="19"/>
        <v>41955</v>
      </c>
      <c r="I337" s="41">
        <f t="shared" si="19"/>
        <v>170</v>
      </c>
      <c r="J337" s="41">
        <f t="shared" si="19"/>
        <v>0</v>
      </c>
      <c r="K337" s="41">
        <f t="shared" si="19"/>
        <v>0</v>
      </c>
      <c r="L337" s="41">
        <f t="shared" si="18"/>
        <v>62005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693864</v>
      </c>
      <c r="G338" s="41">
        <f t="shared" si="20"/>
        <v>283498</v>
      </c>
      <c r="H338" s="41">
        <f t="shared" si="20"/>
        <v>146907</v>
      </c>
      <c r="I338" s="41">
        <f t="shared" si="20"/>
        <v>109148</v>
      </c>
      <c r="J338" s="41">
        <f t="shared" si="20"/>
        <v>51785</v>
      </c>
      <c r="K338" s="41">
        <f t="shared" si="20"/>
        <v>23111</v>
      </c>
      <c r="L338" s="41">
        <f t="shared" si="20"/>
        <v>1308313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693864</v>
      </c>
      <c r="G352" s="41">
        <f>G338</f>
        <v>283498</v>
      </c>
      <c r="H352" s="41">
        <f>H338</f>
        <v>146907</v>
      </c>
      <c r="I352" s="41">
        <f>I338</f>
        <v>109148</v>
      </c>
      <c r="J352" s="41">
        <f>J338</f>
        <v>51785</v>
      </c>
      <c r="K352" s="47">
        <f>K338+K351</f>
        <v>23111</v>
      </c>
      <c r="L352" s="41">
        <f>L338+L351</f>
        <v>1308313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168010+30105</f>
        <v>198115</v>
      </c>
      <c r="G358" s="18">
        <v>39223</v>
      </c>
      <c r="H358" s="18">
        <f>9928+1423</f>
        <v>11351</v>
      </c>
      <c r="I358" s="18">
        <f>208735</f>
        <v>208735</v>
      </c>
      <c r="J358" s="18">
        <f>5066</f>
        <v>5066</v>
      </c>
      <c r="K358" s="18">
        <v>198</v>
      </c>
      <c r="L358" s="13">
        <f>SUM(F358:K358)</f>
        <v>462688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77537+16153</f>
        <v>93690</v>
      </c>
      <c r="G359" s="18">
        <v>21046</v>
      </c>
      <c r="H359" s="18">
        <f>3508+764</f>
        <v>4272</v>
      </c>
      <c r="I359" s="18">
        <f>136031</f>
        <v>136031</v>
      </c>
      <c r="J359" s="18"/>
      <c r="K359" s="18">
        <v>107</v>
      </c>
      <c r="L359" s="19">
        <f>SUM(F359:K359)</f>
        <v>255146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139464+21990</f>
        <v>161454</v>
      </c>
      <c r="G360" s="18">
        <v>28651</v>
      </c>
      <c r="H360" s="18">
        <f>9915+1040</f>
        <v>10955</v>
      </c>
      <c r="I360" s="18">
        <f>265799+1</f>
        <v>265800</v>
      </c>
      <c r="J360" s="18"/>
      <c r="K360" s="18">
        <v>145</v>
      </c>
      <c r="L360" s="19">
        <f>SUM(F360:K360)</f>
        <v>467005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453259</v>
      </c>
      <c r="G362" s="47">
        <f t="shared" si="22"/>
        <v>88920</v>
      </c>
      <c r="H362" s="47">
        <f t="shared" si="22"/>
        <v>26578</v>
      </c>
      <c r="I362" s="47">
        <f t="shared" si="22"/>
        <v>610566</v>
      </c>
      <c r="J362" s="47">
        <f t="shared" si="22"/>
        <v>5066</v>
      </c>
      <c r="K362" s="47">
        <f t="shared" si="22"/>
        <v>450</v>
      </c>
      <c r="L362" s="47">
        <f t="shared" si="22"/>
        <v>1184839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181019</v>
      </c>
      <c r="G367" s="18">
        <v>116426</v>
      </c>
      <c r="H367" s="18">
        <v>227878</v>
      </c>
      <c r="I367" s="56">
        <f>SUM(F367:H367)</f>
        <v>525323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27715</v>
      </c>
      <c r="G368" s="63">
        <v>19606</v>
      </c>
      <c r="H368" s="63">
        <v>37922</v>
      </c>
      <c r="I368" s="56">
        <f>SUM(F368:H368)</f>
        <v>85243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208734</v>
      </c>
      <c r="G369" s="47">
        <f>SUM(G367:G368)</f>
        <v>136032</v>
      </c>
      <c r="H369" s="47">
        <f>SUM(H367:H368)</f>
        <v>265800</v>
      </c>
      <c r="I369" s="47">
        <f>SUM(I367:I368)</f>
        <v>610566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2150</v>
      </c>
      <c r="I389" s="18"/>
      <c r="J389" s="24" t="s">
        <v>289</v>
      </c>
      <c r="K389" s="24" t="s">
        <v>289</v>
      </c>
      <c r="L389" s="56">
        <f t="shared" si="25"/>
        <v>2150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2150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2150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3912</v>
      </c>
      <c r="I397" s="18">
        <v>568</v>
      </c>
      <c r="J397" s="24" t="s">
        <v>289</v>
      </c>
      <c r="K397" s="24" t="s">
        <v>289</v>
      </c>
      <c r="L397" s="56">
        <f t="shared" si="26"/>
        <v>4480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3912</v>
      </c>
      <c r="I401" s="47">
        <f>SUM(I395:I400)</f>
        <v>568</v>
      </c>
      <c r="J401" s="45" t="s">
        <v>289</v>
      </c>
      <c r="K401" s="45" t="s">
        <v>289</v>
      </c>
      <c r="L401" s="47">
        <f>SUM(L395:L400)</f>
        <v>4480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6062</v>
      </c>
      <c r="I408" s="47">
        <f>I393+I401+I407</f>
        <v>568</v>
      </c>
      <c r="J408" s="24" t="s">
        <v>289</v>
      </c>
      <c r="K408" s="24" t="s">
        <v>289</v>
      </c>
      <c r="L408" s="47">
        <f>L393+L401+L407</f>
        <v>6630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155875</v>
      </c>
      <c r="G442" s="18">
        <v>399710</v>
      </c>
      <c r="H442" s="18"/>
      <c r="I442" s="56">
        <f t="shared" si="33"/>
        <v>555585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155875</v>
      </c>
      <c r="G446" s="13">
        <f>SUM(G439:G445)</f>
        <v>399710</v>
      </c>
      <c r="H446" s="13">
        <f>SUM(H439:H445)</f>
        <v>0</v>
      </c>
      <c r="I446" s="13">
        <f>SUM(I439:I445)</f>
        <v>555585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155875</v>
      </c>
      <c r="G459" s="18">
        <v>399710</v>
      </c>
      <c r="H459" s="18"/>
      <c r="I459" s="56">
        <f t="shared" si="34"/>
        <v>555585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155875</v>
      </c>
      <c r="G460" s="83">
        <f>SUM(G454:G459)</f>
        <v>399710</v>
      </c>
      <c r="H460" s="83">
        <f>SUM(H454:H459)</f>
        <v>0</v>
      </c>
      <c r="I460" s="83">
        <f>SUM(I454:I459)</f>
        <v>555585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155875</v>
      </c>
      <c r="G461" s="42">
        <f>G452+G460</f>
        <v>399710</v>
      </c>
      <c r="H461" s="42">
        <f>H452+H460</f>
        <v>0</v>
      </c>
      <c r="I461" s="42">
        <f>I452+I460</f>
        <v>555585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1202757</v>
      </c>
      <c r="G465" s="18">
        <v>0</v>
      </c>
      <c r="H465" s="18">
        <v>17229</v>
      </c>
      <c r="I465" s="18">
        <v>-79023</v>
      </c>
      <c r="J465" s="18">
        <v>548955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36730368</v>
      </c>
      <c r="G468" s="18">
        <f>G193</f>
        <v>1185308</v>
      </c>
      <c r="H468" s="18">
        <f>H193</f>
        <v>1308313</v>
      </c>
      <c r="I468" s="18">
        <f>I193</f>
        <v>0</v>
      </c>
      <c r="J468" s="18">
        <f>J193</f>
        <v>6630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f>126634+135+4</f>
        <v>126773</v>
      </c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36857141</v>
      </c>
      <c r="G470" s="53">
        <f>SUM(G468:G469)</f>
        <v>1185308</v>
      </c>
      <c r="H470" s="53">
        <f>SUM(H468:H469)</f>
        <v>1308313</v>
      </c>
      <c r="I470" s="53">
        <f>SUM(I468:I469)</f>
        <v>0</v>
      </c>
      <c r="J470" s="53">
        <f>SUM(J468:J469)</f>
        <v>6630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36862817</v>
      </c>
      <c r="G472" s="18">
        <f>L362</f>
        <v>1184839</v>
      </c>
      <c r="H472" s="18">
        <f>L352</f>
        <v>1308313</v>
      </c>
      <c r="I472" s="18">
        <f>L382</f>
        <v>0</v>
      </c>
      <c r="J472" s="18">
        <f>L434</f>
        <v>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36862817</v>
      </c>
      <c r="G474" s="53">
        <f>SUM(G472:G473)</f>
        <v>1184839</v>
      </c>
      <c r="H474" s="53">
        <f>SUM(H472:H473)</f>
        <v>1308313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1197081</v>
      </c>
      <c r="G476" s="53">
        <f>(G465+G470)- G474</f>
        <v>469</v>
      </c>
      <c r="H476" s="53">
        <f>(H465+H470)- H474</f>
        <v>17229</v>
      </c>
      <c r="I476" s="53">
        <f>(I465+I470)- I474</f>
        <v>-79023</v>
      </c>
      <c r="J476" s="53">
        <f>(J465+J470)- J474</f>
        <v>555585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74" t="s">
        <v>911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5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19836029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3.25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1980000</v>
      </c>
      <c r="G495" s="18"/>
      <c r="H495" s="18"/>
      <c r="I495" s="18"/>
      <c r="J495" s="18"/>
      <c r="K495" s="53">
        <f>SUM(F495:J495)</f>
        <v>1980000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1980000</v>
      </c>
      <c r="G497" s="18"/>
      <c r="H497" s="18"/>
      <c r="I497" s="18"/>
      <c r="J497" s="18"/>
      <c r="K497" s="53">
        <f t="shared" si="35"/>
        <v>1980000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1784585+62050</f>
        <v>1846635</v>
      </c>
      <c r="G521" s="18">
        <v>789917</v>
      </c>
      <c r="H521" s="18">
        <f>322791+51753</f>
        <v>374544</v>
      </c>
      <c r="I521" s="18">
        <f>4546+16609</f>
        <v>21155</v>
      </c>
      <c r="J521" s="18">
        <v>7324</v>
      </c>
      <c r="K521" s="18"/>
      <c r="L521" s="88">
        <f>SUM(F521:K521)</f>
        <v>3039575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805996+33294</f>
        <v>839290</v>
      </c>
      <c r="G522" s="18">
        <v>423840</v>
      </c>
      <c r="H522" s="18">
        <f>245185+27769</f>
        <v>272954</v>
      </c>
      <c r="I522" s="18">
        <f>4668+8912</f>
        <v>13580</v>
      </c>
      <c r="J522" s="18">
        <f>750+3930</f>
        <v>4680</v>
      </c>
      <c r="K522" s="18"/>
      <c r="L522" s="88">
        <f>SUM(F522:K522)</f>
        <v>1554344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1070725+45325</f>
        <v>1116050</v>
      </c>
      <c r="G523" s="18">
        <v>577004</v>
      </c>
      <c r="H523" s="18">
        <f>456635+37804</f>
        <v>494439</v>
      </c>
      <c r="I523" s="18">
        <f>4041+12132</f>
        <v>16173</v>
      </c>
      <c r="J523" s="18">
        <f>750+5350</f>
        <v>6100</v>
      </c>
      <c r="K523" s="18"/>
      <c r="L523" s="88">
        <f>SUM(F523:K523)</f>
        <v>2209766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3801975</v>
      </c>
      <c r="G524" s="108">
        <f t="shared" ref="G524:L524" si="36">SUM(G521:G523)</f>
        <v>1790761</v>
      </c>
      <c r="H524" s="108">
        <f t="shared" si="36"/>
        <v>1141937</v>
      </c>
      <c r="I524" s="108">
        <f t="shared" si="36"/>
        <v>50908</v>
      </c>
      <c r="J524" s="108">
        <f t="shared" si="36"/>
        <v>18104</v>
      </c>
      <c r="K524" s="108">
        <f t="shared" si="36"/>
        <v>0</v>
      </c>
      <c r="L524" s="89">
        <f t="shared" si="36"/>
        <v>6803685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74933+396713</f>
        <v>471646</v>
      </c>
      <c r="G526" s="18">
        <v>184124</v>
      </c>
      <c r="H526" s="18">
        <v>168473</v>
      </c>
      <c r="I526" s="18">
        <v>498</v>
      </c>
      <c r="J526" s="18"/>
      <c r="K526" s="18"/>
      <c r="L526" s="88">
        <f>SUM(F526:K526)</f>
        <v>824741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25836+212861</f>
        <v>238697</v>
      </c>
      <c r="G527" s="18">
        <v>98794</v>
      </c>
      <c r="H527" s="18">
        <f>96019</f>
        <v>96019</v>
      </c>
      <c r="I527" s="18">
        <v>267</v>
      </c>
      <c r="J527" s="18"/>
      <c r="K527" s="18"/>
      <c r="L527" s="88">
        <f>SUM(F527:K527)</f>
        <v>433777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289783</v>
      </c>
      <c r="G528" s="18">
        <v>134496</v>
      </c>
      <c r="H528" s="18">
        <f>75940</f>
        <v>75940</v>
      </c>
      <c r="I528" s="18">
        <v>364</v>
      </c>
      <c r="J528" s="18"/>
      <c r="K528" s="18"/>
      <c r="L528" s="88">
        <f>SUM(F528:K528)</f>
        <v>500583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1000126</v>
      </c>
      <c r="G529" s="89">
        <f t="shared" ref="G529:L529" si="37">SUM(G526:G528)</f>
        <v>417414</v>
      </c>
      <c r="H529" s="89">
        <f t="shared" si="37"/>
        <v>340432</v>
      </c>
      <c r="I529" s="89">
        <f t="shared" si="37"/>
        <v>1129</v>
      </c>
      <c r="J529" s="89">
        <f t="shared" si="37"/>
        <v>0</v>
      </c>
      <c r="K529" s="89">
        <f t="shared" si="37"/>
        <v>0</v>
      </c>
      <c r="L529" s="89">
        <f t="shared" si="37"/>
        <v>1759101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112807</f>
        <v>112807</v>
      </c>
      <c r="G531" s="18">
        <v>74354</v>
      </c>
      <c r="H531" s="18">
        <f>21068+1043</f>
        <v>22111</v>
      </c>
      <c r="I531" s="18"/>
      <c r="J531" s="18">
        <v>487</v>
      </c>
      <c r="K531" s="18">
        <v>867</v>
      </c>
      <c r="L531" s="88">
        <f>SUM(F531:K531)</f>
        <v>210626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53087+60528</f>
        <v>113615</v>
      </c>
      <c r="G532" s="18">
        <v>39895</v>
      </c>
      <c r="H532" s="18">
        <f>15372+560</f>
        <v>15932</v>
      </c>
      <c r="I532" s="18">
        <v>308</v>
      </c>
      <c r="J532" s="18">
        <v>261</v>
      </c>
      <c r="K532" s="18">
        <v>465</v>
      </c>
      <c r="L532" s="88">
        <f>SUM(F532:K532)</f>
        <v>170476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53087+82401</f>
        <v>135488</v>
      </c>
      <c r="G533" s="18">
        <v>54313</v>
      </c>
      <c r="H533" s="18">
        <f>23123+762</f>
        <v>23885</v>
      </c>
      <c r="I533" s="18"/>
      <c r="J533" s="18">
        <v>356</v>
      </c>
      <c r="K533" s="18">
        <v>633</v>
      </c>
      <c r="L533" s="88">
        <f>SUM(F533:K533)</f>
        <v>214675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361910</v>
      </c>
      <c r="G534" s="89">
        <f t="shared" ref="G534:L534" si="38">SUM(G531:G533)</f>
        <v>168562</v>
      </c>
      <c r="H534" s="89">
        <f t="shared" si="38"/>
        <v>61928</v>
      </c>
      <c r="I534" s="89">
        <f t="shared" si="38"/>
        <v>308</v>
      </c>
      <c r="J534" s="89">
        <f t="shared" si="38"/>
        <v>1104</v>
      </c>
      <c r="K534" s="89">
        <f t="shared" si="38"/>
        <v>1965</v>
      </c>
      <c r="L534" s="89">
        <f t="shared" si="38"/>
        <v>595777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225+20978</f>
        <v>21203</v>
      </c>
      <c r="I536" s="18"/>
      <c r="J536" s="18"/>
      <c r="K536" s="18"/>
      <c r="L536" s="88">
        <f>SUM(F536:K536)</f>
        <v>21203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1500+11256</f>
        <v>12756</v>
      </c>
      <c r="I537" s="18"/>
      <c r="J537" s="18"/>
      <c r="K537" s="18"/>
      <c r="L537" s="88">
        <f>SUM(F537:K537)</f>
        <v>12756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852+15323</f>
        <v>16175</v>
      </c>
      <c r="I538" s="18"/>
      <c r="J538" s="18"/>
      <c r="K538" s="18"/>
      <c r="L538" s="88">
        <f>SUM(F538:K538)</f>
        <v>16175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50134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50134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82884</v>
      </c>
      <c r="G541" s="18">
        <v>31907</v>
      </c>
      <c r="H541" s="18">
        <v>46937</v>
      </c>
      <c r="I541" s="18"/>
      <c r="J541" s="18"/>
      <c r="K541" s="18"/>
      <c r="L541" s="88">
        <f>SUM(F541:K541)</f>
        <v>161728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44472</v>
      </c>
      <c r="G542" s="18">
        <v>17120</v>
      </c>
      <c r="H542" s="18">
        <v>25184</v>
      </c>
      <c r="I542" s="18"/>
      <c r="J542" s="18"/>
      <c r="K542" s="18"/>
      <c r="L542" s="88">
        <f>SUM(F542:K542)</f>
        <v>86776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60543</v>
      </c>
      <c r="G543" s="18">
        <v>23306</v>
      </c>
      <c r="H543" s="18">
        <v>34285</v>
      </c>
      <c r="I543" s="18"/>
      <c r="J543" s="18"/>
      <c r="K543" s="18"/>
      <c r="L543" s="88">
        <f>SUM(F543:K543)</f>
        <v>118134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187899</v>
      </c>
      <c r="G544" s="193">
        <f t="shared" ref="G544:L544" si="40">SUM(G541:G543)</f>
        <v>72333</v>
      </c>
      <c r="H544" s="193">
        <f t="shared" si="40"/>
        <v>106406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366638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5351910</v>
      </c>
      <c r="G545" s="89">
        <f t="shared" ref="G545:L545" si="41">G524+G529+G534+G539+G544</f>
        <v>2449070</v>
      </c>
      <c r="H545" s="89">
        <f t="shared" si="41"/>
        <v>1700837</v>
      </c>
      <c r="I545" s="89">
        <f t="shared" si="41"/>
        <v>52345</v>
      </c>
      <c r="J545" s="89">
        <f t="shared" si="41"/>
        <v>19208</v>
      </c>
      <c r="K545" s="89">
        <f t="shared" si="41"/>
        <v>1965</v>
      </c>
      <c r="L545" s="89">
        <f t="shared" si="41"/>
        <v>9575335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3039575</v>
      </c>
      <c r="G549" s="87">
        <f>L526</f>
        <v>824741</v>
      </c>
      <c r="H549" s="87">
        <f>L531</f>
        <v>210626</v>
      </c>
      <c r="I549" s="87">
        <f>L536</f>
        <v>21203</v>
      </c>
      <c r="J549" s="87">
        <f>L541</f>
        <v>161728</v>
      </c>
      <c r="K549" s="87">
        <f>SUM(F549:J549)</f>
        <v>4257873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1554344</v>
      </c>
      <c r="G550" s="87">
        <f>L527</f>
        <v>433777</v>
      </c>
      <c r="H550" s="87">
        <f>L532</f>
        <v>170476</v>
      </c>
      <c r="I550" s="87">
        <f>L537</f>
        <v>12756</v>
      </c>
      <c r="J550" s="87">
        <f>L542</f>
        <v>86776</v>
      </c>
      <c r="K550" s="87">
        <f>SUM(F550:J550)</f>
        <v>2258129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2209766</v>
      </c>
      <c r="G551" s="87">
        <f>L528</f>
        <v>500583</v>
      </c>
      <c r="H551" s="87">
        <f>L533</f>
        <v>214675</v>
      </c>
      <c r="I551" s="87">
        <f>L538</f>
        <v>16175</v>
      </c>
      <c r="J551" s="87">
        <f>L543</f>
        <v>118134</v>
      </c>
      <c r="K551" s="87">
        <f>SUM(F551:J551)</f>
        <v>3059333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6803685</v>
      </c>
      <c r="G552" s="89">
        <f t="shared" si="42"/>
        <v>1759101</v>
      </c>
      <c r="H552" s="89">
        <f t="shared" si="42"/>
        <v>595777</v>
      </c>
      <c r="I552" s="89">
        <f t="shared" si="42"/>
        <v>50134</v>
      </c>
      <c r="J552" s="89">
        <f t="shared" si="42"/>
        <v>366638</v>
      </c>
      <c r="K552" s="89">
        <f t="shared" si="42"/>
        <v>9575335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7508</v>
      </c>
      <c r="G562" s="18">
        <v>19582</v>
      </c>
      <c r="H562" s="18">
        <v>265</v>
      </c>
      <c r="I562" s="18">
        <v>46</v>
      </c>
      <c r="J562" s="18"/>
      <c r="K562" s="18"/>
      <c r="L562" s="88">
        <f>SUM(F562:K562)</f>
        <v>27401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15015</v>
      </c>
      <c r="G563" s="18">
        <v>10507</v>
      </c>
      <c r="H563" s="18">
        <v>142</v>
      </c>
      <c r="I563" s="18">
        <v>25</v>
      </c>
      <c r="J563" s="18"/>
      <c r="K563" s="18"/>
      <c r="L563" s="88">
        <f>SUM(F563:K563)</f>
        <v>25689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35694</v>
      </c>
      <c r="G564" s="18">
        <v>14304</v>
      </c>
      <c r="H564" s="18">
        <v>193</v>
      </c>
      <c r="I564" s="18">
        <v>34</v>
      </c>
      <c r="J564" s="18"/>
      <c r="K564" s="18"/>
      <c r="L564" s="88">
        <f>SUM(F564:K564)</f>
        <v>50225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58217</v>
      </c>
      <c r="G565" s="89">
        <f t="shared" si="44"/>
        <v>44393</v>
      </c>
      <c r="H565" s="89">
        <f t="shared" si="44"/>
        <v>600</v>
      </c>
      <c r="I565" s="89">
        <f t="shared" si="44"/>
        <v>105</v>
      </c>
      <c r="J565" s="89">
        <f t="shared" si="44"/>
        <v>0</v>
      </c>
      <c r="K565" s="89">
        <f t="shared" si="44"/>
        <v>0</v>
      </c>
      <c r="L565" s="89">
        <f t="shared" si="44"/>
        <v>103315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58217</v>
      </c>
      <c r="G571" s="89">
        <f t="shared" ref="G571:L571" si="46">G560+G565+G570</f>
        <v>44393</v>
      </c>
      <c r="H571" s="89">
        <f t="shared" si="46"/>
        <v>600</v>
      </c>
      <c r="I571" s="89">
        <f t="shared" si="46"/>
        <v>105</v>
      </c>
      <c r="J571" s="89">
        <f t="shared" si="46"/>
        <v>0</v>
      </c>
      <c r="K571" s="89">
        <f t="shared" si="46"/>
        <v>0</v>
      </c>
      <c r="L571" s="89">
        <f t="shared" si="46"/>
        <v>103315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39802+123502</f>
        <v>163304</v>
      </c>
      <c r="G579" s="18">
        <f>21356+31192</f>
        <v>52548</v>
      </c>
      <c r="H579" s="18">
        <f>29074+31045</f>
        <v>60119</v>
      </c>
      <c r="I579" s="87">
        <f t="shared" si="47"/>
        <v>275971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185373</v>
      </c>
      <c r="G582" s="18">
        <v>211909</v>
      </c>
      <c r="H582" s="18">
        <v>422864</v>
      </c>
      <c r="I582" s="87">
        <f t="shared" si="47"/>
        <v>820146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205913</v>
      </c>
      <c r="I584" s="87">
        <f t="shared" si="47"/>
        <v>205913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41302+328366+143298</f>
        <v>512966</v>
      </c>
      <c r="I591" s="18">
        <f>176189+76888</f>
        <v>253077</v>
      </c>
      <c r="J591" s="18">
        <f>239858+104673</f>
        <v>344531</v>
      </c>
      <c r="K591" s="104">
        <f t="shared" ref="K591:K597" si="48">SUM(H591:J591)</f>
        <v>1110574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161727</v>
      </c>
      <c r="I592" s="18">
        <v>86777</v>
      </c>
      <c r="J592" s="18">
        <v>118135</v>
      </c>
      <c r="K592" s="104">
        <f t="shared" si="48"/>
        <v>366639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1029</v>
      </c>
      <c r="I593" s="18">
        <v>552</v>
      </c>
      <c r="J593" s="18">
        <f>10259+752</f>
        <v>11011</v>
      </c>
      <c r="K593" s="104">
        <f t="shared" si="48"/>
        <v>12592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7850</v>
      </c>
      <c r="J594" s="18">
        <v>47527</v>
      </c>
      <c r="K594" s="104">
        <f t="shared" si="48"/>
        <v>55377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1300+45</f>
        <v>1345</v>
      </c>
      <c r="I595" s="18">
        <f>1900+24</f>
        <v>1924</v>
      </c>
      <c r="J595" s="18">
        <f>1475+33</f>
        <v>1508</v>
      </c>
      <c r="K595" s="104">
        <f t="shared" si="48"/>
        <v>4777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3529+236969+271</f>
        <v>240769</v>
      </c>
      <c r="I597" s="18">
        <f>1894+127149+146</f>
        <v>129189</v>
      </c>
      <c r="J597" s="18">
        <f>2578+173097+198</f>
        <v>175873</v>
      </c>
      <c r="K597" s="104">
        <f t="shared" si="48"/>
        <v>545831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917836</v>
      </c>
      <c r="I598" s="108">
        <f>SUM(I591:I597)</f>
        <v>479369</v>
      </c>
      <c r="J598" s="108">
        <f>SUM(J591:J597)</f>
        <v>698585</v>
      </c>
      <c r="K598" s="108">
        <f>SUM(K591:K597)</f>
        <v>2095790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f>2206</f>
        <v>2206</v>
      </c>
      <c r="I602" s="18">
        <f>1183</f>
        <v>1183</v>
      </c>
      <c r="J602" s="18">
        <f>1611</f>
        <v>1611</v>
      </c>
      <c r="K602" s="104">
        <f>SUM(H602:J602)</f>
        <v>5000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177938+34020+1396+3670+2483+14306+5673-1058</f>
        <v>238428</v>
      </c>
      <c r="I604" s="18">
        <f>95475+20245+7676+3044</f>
        <v>126440</v>
      </c>
      <c r="J604" s="18">
        <f>129976+30118+10450+4144</f>
        <v>174688</v>
      </c>
      <c r="K604" s="104">
        <f>SUM(H604:J604)</f>
        <v>539556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240634</v>
      </c>
      <c r="I605" s="108">
        <f>SUM(I602:I604)</f>
        <v>127623</v>
      </c>
      <c r="J605" s="108">
        <f>SUM(J602:J604)</f>
        <v>176299</v>
      </c>
      <c r="K605" s="108">
        <f>SUM(K602:K604)</f>
        <v>544556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2883134</v>
      </c>
      <c r="H617" s="109">
        <f>SUM(F52)</f>
        <v>2883134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157994</v>
      </c>
      <c r="H618" s="109">
        <f>SUM(G52)</f>
        <v>157994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270079</v>
      </c>
      <c r="H619" s="109">
        <f>SUM(H52)</f>
        <v>270079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555585</v>
      </c>
      <c r="H621" s="109">
        <f>SUM(J52)</f>
        <v>555585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1197081</v>
      </c>
      <c r="H622" s="109">
        <f>F476</f>
        <v>1197081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469</v>
      </c>
      <c r="H623" s="109">
        <f>G476</f>
        <v>469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17229</v>
      </c>
      <c r="H624" s="109">
        <f>H476</f>
        <v>17229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-79023</v>
      </c>
      <c r="H625" s="109">
        <f>I476</f>
        <v>-79023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555585</v>
      </c>
      <c r="H626" s="109">
        <f>J476</f>
        <v>555585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36730368</v>
      </c>
      <c r="H627" s="104">
        <f>SUM(F468)</f>
        <v>36730368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1185308</v>
      </c>
      <c r="H628" s="104">
        <f>SUM(G468)</f>
        <v>1185308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1308313</v>
      </c>
      <c r="H629" s="104">
        <f>SUM(H468)</f>
        <v>1308313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6630</v>
      </c>
      <c r="H631" s="104">
        <f>SUM(J468)</f>
        <v>6630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36862817</v>
      </c>
      <c r="H632" s="104">
        <f>SUM(F472)</f>
        <v>36862817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1308313</v>
      </c>
      <c r="H633" s="104">
        <f>SUM(H472)</f>
        <v>1308313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610566</v>
      </c>
      <c r="H634" s="104">
        <f>I369</f>
        <v>610566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1184839</v>
      </c>
      <c r="H635" s="104">
        <f>SUM(G472)</f>
        <v>1184839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6630</v>
      </c>
      <c r="H637" s="164">
        <f>SUM(J468)</f>
        <v>6630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155875</v>
      </c>
      <c r="H639" s="104">
        <f>SUM(F461)</f>
        <v>155875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399710</v>
      </c>
      <c r="H640" s="104">
        <f>SUM(G461)</f>
        <v>399710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555585</v>
      </c>
      <c r="H642" s="104">
        <f>SUM(I461)</f>
        <v>555585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6062</v>
      </c>
      <c r="H644" s="104">
        <f>H408</f>
        <v>6062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6630</v>
      </c>
      <c r="H646" s="104">
        <f>L408</f>
        <v>6630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2095790</v>
      </c>
      <c r="H647" s="104">
        <f>L208+L226+L244</f>
        <v>2095790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544556</v>
      </c>
      <c r="H648" s="104">
        <f>(J257+J338)-(J255+J336)</f>
        <v>544556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917836</v>
      </c>
      <c r="H649" s="104">
        <f>H598</f>
        <v>917836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479369</v>
      </c>
      <c r="H650" s="104">
        <f>I598</f>
        <v>479369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698585</v>
      </c>
      <c r="H651" s="104">
        <f>J598</f>
        <v>698585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16533</v>
      </c>
      <c r="H652" s="104">
        <f>K263+K345</f>
        <v>16533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16703702</v>
      </c>
      <c r="G660" s="19">
        <f>(L229+L309+L359)</f>
        <v>8608697</v>
      </c>
      <c r="H660" s="19">
        <f>(L247+L328+L360)</f>
        <v>11809439</v>
      </c>
      <c r="I660" s="19">
        <f>SUM(F660:H660)</f>
        <v>37121838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244580.04170355634</v>
      </c>
      <c r="G661" s="19">
        <f>(L359/IF(SUM(L358:L360)=0,1,SUM(L358:L360))*(SUM(G97:G110)))</f>
        <v>134871.92086350973</v>
      </c>
      <c r="H661" s="19">
        <f>(L360/IF(SUM(L358:L360)=0,1,SUM(L358:L360))*(SUM(G97:G110)))</f>
        <v>246862.03743293392</v>
      </c>
      <c r="I661" s="19">
        <f>SUM(F661:H661)</f>
        <v>626314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837765</v>
      </c>
      <c r="G662" s="19">
        <f>(L226+L306)-(J226+J306)</f>
        <v>436406</v>
      </c>
      <c r="H662" s="19">
        <f>(L244+L325)-(J244+J325)</f>
        <v>640097</v>
      </c>
      <c r="I662" s="19">
        <f>SUM(F662:H662)</f>
        <v>1914268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589311</v>
      </c>
      <c r="G663" s="199">
        <f>SUM(G575:G587)+SUM(I602:I604)+L612</f>
        <v>392080</v>
      </c>
      <c r="H663" s="199">
        <f>SUM(H575:H587)+SUM(J602:J604)+L613</f>
        <v>865195</v>
      </c>
      <c r="I663" s="19">
        <f>SUM(F663:H663)</f>
        <v>1846586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15032045.958296444</v>
      </c>
      <c r="G664" s="19">
        <f>G660-SUM(G661:G663)</f>
        <v>7645339.0791364899</v>
      </c>
      <c r="H664" s="19">
        <f>H660-SUM(H661:H663)</f>
        <v>10057284.962567067</v>
      </c>
      <c r="I664" s="19">
        <f>I660-SUM(I661:I663)</f>
        <v>32734670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1132.71</v>
      </c>
      <c r="G665" s="248">
        <v>607.77</v>
      </c>
      <c r="H665" s="248">
        <v>827.4</v>
      </c>
      <c r="I665" s="19">
        <f>SUM(F665:H665)</f>
        <v>2567.88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13270.87</v>
      </c>
      <c r="G667" s="19">
        <f>ROUND(G664/G665,2)</f>
        <v>12579.33</v>
      </c>
      <c r="H667" s="19">
        <f>ROUND(H664/H665,2)</f>
        <v>12155.29</v>
      </c>
      <c r="I667" s="19">
        <f>ROUND(I664/I665,2)</f>
        <v>12747.74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-31.89</v>
      </c>
      <c r="I670" s="19">
        <f>SUM(F670:H670)</f>
        <v>-31.89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13270.87</v>
      </c>
      <c r="G672" s="19">
        <f>ROUND((G664+G669)/(G665+G670),2)</f>
        <v>12579.33</v>
      </c>
      <c r="H672" s="19">
        <f>ROUND((H664+H669)/(H665+H670),2)</f>
        <v>12642.56</v>
      </c>
      <c r="I672" s="19">
        <f>ROUND((I664+I669)/(I665+I670),2)</f>
        <v>12908.04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&amp;A&amp;RPage &amp;P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Merrimack Valley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9408778</v>
      </c>
      <c r="C9" s="229">
        <f>'DOE25'!G197+'DOE25'!G215+'DOE25'!G233+'DOE25'!G276+'DOE25'!G295+'DOE25'!G314</f>
        <v>4079186</v>
      </c>
    </row>
    <row r="10" spans="1:3" x14ac:dyDescent="0.2">
      <c r="A10" t="s">
        <v>779</v>
      </c>
      <c r="B10" s="240">
        <v>8844260.7200000007</v>
      </c>
      <c r="C10" s="240">
        <v>3831614.84</v>
      </c>
    </row>
    <row r="11" spans="1:3" x14ac:dyDescent="0.2">
      <c r="A11" t="s">
        <v>780</v>
      </c>
      <c r="B11" s="240">
        <v>298258.26</v>
      </c>
      <c r="C11" s="240">
        <v>247571.16</v>
      </c>
    </row>
    <row r="12" spans="1:3" x14ac:dyDescent="0.2">
      <c r="A12" t="s">
        <v>781</v>
      </c>
      <c r="B12" s="240">
        <v>266259.02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9408778</v>
      </c>
      <c r="C13" s="231">
        <f>SUM(C10:C12)</f>
        <v>4079186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3801975</v>
      </c>
      <c r="C18" s="229">
        <f>'DOE25'!G198+'DOE25'!G216+'DOE25'!G234+'DOE25'!G277+'DOE25'!G296+'DOE25'!G315</f>
        <v>1790761</v>
      </c>
    </row>
    <row r="19" spans="1:3" x14ac:dyDescent="0.2">
      <c r="A19" t="s">
        <v>779</v>
      </c>
      <c r="B19" s="240">
        <v>2015046.75</v>
      </c>
      <c r="C19" s="240">
        <v>947103.33</v>
      </c>
    </row>
    <row r="20" spans="1:3" x14ac:dyDescent="0.2">
      <c r="A20" t="s">
        <v>780</v>
      </c>
      <c r="B20" s="240">
        <v>1786928.25</v>
      </c>
      <c r="C20" s="240">
        <v>843657.67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3801975</v>
      </c>
      <c r="C22" s="231">
        <f>SUM(C19:C21)</f>
        <v>1790761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366200</v>
      </c>
      <c r="C36" s="235">
        <f>'DOE25'!G200+'DOE25'!G218+'DOE25'!G236+'DOE25'!G279+'DOE25'!G298+'DOE25'!G317</f>
        <v>89205</v>
      </c>
    </row>
    <row r="37" spans="1:3" x14ac:dyDescent="0.2">
      <c r="A37" t="s">
        <v>779</v>
      </c>
      <c r="B37" s="240">
        <v>124508</v>
      </c>
      <c r="C37" s="240">
        <v>30329.7</v>
      </c>
    </row>
    <row r="38" spans="1:3" x14ac:dyDescent="0.2">
      <c r="A38" t="s">
        <v>780</v>
      </c>
      <c r="B38" s="240">
        <v>241692</v>
      </c>
      <c r="C38" s="240">
        <v>58875.3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366200</v>
      </c>
      <c r="C40" s="231">
        <f>SUM(C37:C39)</f>
        <v>89205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3" sqref="D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Merrimack Valley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20862826</v>
      </c>
      <c r="D5" s="20">
        <f>SUM('DOE25'!L197:L200)+SUM('DOE25'!L215:L218)+SUM('DOE25'!L233:L236)-F5-G5</f>
        <v>20772222</v>
      </c>
      <c r="E5" s="243"/>
      <c r="F5" s="255">
        <f>SUM('DOE25'!J197:J200)+SUM('DOE25'!J215:J218)+SUM('DOE25'!J233:J236)</f>
        <v>85219</v>
      </c>
      <c r="G5" s="53">
        <f>SUM('DOE25'!K197:K200)+SUM('DOE25'!K215:K218)+SUM('DOE25'!K233:K236)</f>
        <v>5385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4118640</v>
      </c>
      <c r="D6" s="20">
        <f>'DOE25'!L202+'DOE25'!L220+'DOE25'!L238-F6-G6</f>
        <v>4114488</v>
      </c>
      <c r="E6" s="243"/>
      <c r="F6" s="255">
        <f>'DOE25'!J202+'DOE25'!J220+'DOE25'!J238</f>
        <v>2087</v>
      </c>
      <c r="G6" s="53">
        <f>'DOE25'!K202+'DOE25'!K220+'DOE25'!K238</f>
        <v>2065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1306549</v>
      </c>
      <c r="D7" s="20">
        <f>'DOE25'!L203+'DOE25'!L221+'DOE25'!L239-F7-G7</f>
        <v>1165928</v>
      </c>
      <c r="E7" s="243"/>
      <c r="F7" s="255">
        <f>'DOE25'!J203+'DOE25'!J221+'DOE25'!J239</f>
        <v>140593</v>
      </c>
      <c r="G7" s="53">
        <f>'DOE25'!K203+'DOE25'!K221+'DOE25'!K239</f>
        <v>28</v>
      </c>
      <c r="H7" s="259"/>
    </row>
    <row r="8" spans="1:9" x14ac:dyDescent="0.2">
      <c r="A8" s="32">
        <v>2300</v>
      </c>
      <c r="B8" t="s">
        <v>802</v>
      </c>
      <c r="C8" s="245">
        <f t="shared" si="0"/>
        <v>552682.92000000004</v>
      </c>
      <c r="D8" s="243"/>
      <c r="E8" s="20">
        <f>'DOE25'!L204+'DOE25'!L222+'DOE25'!L240-F8-G8-D9-D11</f>
        <v>547101.92000000004</v>
      </c>
      <c r="F8" s="255">
        <f>'DOE25'!J204+'DOE25'!J222+'DOE25'!J240</f>
        <v>0</v>
      </c>
      <c r="G8" s="53">
        <f>'DOE25'!K204+'DOE25'!K222+'DOE25'!K240</f>
        <v>5581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37967.07</v>
      </c>
      <c r="D9" s="244">
        <v>37967.07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33166.03</v>
      </c>
      <c r="D10" s="243"/>
      <c r="E10" s="244">
        <v>33166.03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335510.01</v>
      </c>
      <c r="D11" s="244">
        <v>335510.01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1806065</v>
      </c>
      <c r="D12" s="20">
        <f>'DOE25'!L205+'DOE25'!L223+'DOE25'!L241-F12-G12</f>
        <v>1741504</v>
      </c>
      <c r="E12" s="243"/>
      <c r="F12" s="255">
        <f>'DOE25'!J205+'DOE25'!J223+'DOE25'!J241</f>
        <v>44123</v>
      </c>
      <c r="G12" s="53">
        <f>'DOE25'!K205+'DOE25'!K223+'DOE25'!K241</f>
        <v>20438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4500</v>
      </c>
      <c r="D13" s="243"/>
      <c r="E13" s="20">
        <f>'DOE25'!L206+'DOE25'!L224+'DOE25'!L242-F13-G13</f>
        <v>4500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3570161</v>
      </c>
      <c r="D14" s="20">
        <f>'DOE25'!L207+'DOE25'!L225+'DOE25'!L243-F14-G14</f>
        <v>3533934</v>
      </c>
      <c r="E14" s="243"/>
      <c r="F14" s="255">
        <f>'DOE25'!J207+'DOE25'!J225+'DOE25'!J243</f>
        <v>36227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2095790</v>
      </c>
      <c r="D15" s="20">
        <f>'DOE25'!L208+'DOE25'!L226+'DOE25'!L244-F15-G15</f>
        <v>1910653</v>
      </c>
      <c r="E15" s="243"/>
      <c r="F15" s="255">
        <f>'DOE25'!J208+'DOE25'!J226+'DOE25'!J244</f>
        <v>184522</v>
      </c>
      <c r="G15" s="53">
        <f>'DOE25'!K208+'DOE25'!K226+'DOE25'!K244</f>
        <v>615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-97</v>
      </c>
      <c r="D19" s="20">
        <f>'DOE25'!L253-F19-G19</f>
        <v>-97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179177</v>
      </c>
      <c r="D22" s="243"/>
      <c r="E22" s="243"/>
      <c r="F22" s="255">
        <f>'DOE25'!L255+'DOE25'!L336</f>
        <v>179177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2014650</v>
      </c>
      <c r="D25" s="243"/>
      <c r="E25" s="243"/>
      <c r="F25" s="258"/>
      <c r="G25" s="256"/>
      <c r="H25" s="257">
        <f>'DOE25'!L260+'DOE25'!L261+'DOE25'!L341+'DOE25'!L342</f>
        <v>2014650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659516</v>
      </c>
      <c r="D29" s="20">
        <f>'DOE25'!L358+'DOE25'!L359+'DOE25'!L360-'DOE25'!I367-F29-G29</f>
        <v>654000</v>
      </c>
      <c r="E29" s="243"/>
      <c r="F29" s="255">
        <f>'DOE25'!J358+'DOE25'!J359+'DOE25'!J360</f>
        <v>5066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1270176</v>
      </c>
      <c r="D31" s="20">
        <f>'DOE25'!L290+'DOE25'!L309+'DOE25'!L328+'DOE25'!L333+'DOE25'!L334+'DOE25'!L335-F31-G31</f>
        <v>1195280</v>
      </c>
      <c r="E31" s="243"/>
      <c r="F31" s="255">
        <f>'DOE25'!J290+'DOE25'!J309+'DOE25'!J328+'DOE25'!J333+'DOE25'!J334+'DOE25'!J335</f>
        <v>51785</v>
      </c>
      <c r="G31" s="53">
        <f>'DOE25'!K290+'DOE25'!K309+'DOE25'!K328+'DOE25'!K333+'DOE25'!K334+'DOE25'!K335</f>
        <v>23111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35461389.079999998</v>
      </c>
      <c r="E33" s="246">
        <f>SUM(E5:E31)</f>
        <v>584767.95000000007</v>
      </c>
      <c r="F33" s="246">
        <f>SUM(F5:F31)</f>
        <v>728799</v>
      </c>
      <c r="G33" s="246">
        <f>SUM(G5:G31)</f>
        <v>57673</v>
      </c>
      <c r="H33" s="246">
        <f>SUM(H5:H31)</f>
        <v>2014650</v>
      </c>
    </row>
    <row r="35" spans="2:8" ht="12" thickBot="1" x14ac:dyDescent="0.25">
      <c r="B35" s="253" t="s">
        <v>847</v>
      </c>
      <c r="D35" s="254">
        <f>E33</f>
        <v>584767.95000000007</v>
      </c>
      <c r="E35" s="249"/>
    </row>
    <row r="36" spans="2:8" ht="12" thickTop="1" x14ac:dyDescent="0.2">
      <c r="B36" t="s">
        <v>815</v>
      </c>
      <c r="D36" s="20">
        <f>D33</f>
        <v>35461389.079999998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" activePane="bottomLeft" state="frozen"/>
      <selection activeCell="F46" sqref="F46"/>
      <selection pane="bottomLeft" activeCell="D39" sqref="D3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Valley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2511165</v>
      </c>
      <c r="D8" s="95">
        <f>'DOE25'!G9</f>
        <v>25007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34506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218850</v>
      </c>
      <c r="D11" s="95">
        <f>'DOE25'!G12</f>
        <v>0</v>
      </c>
      <c r="E11" s="95">
        <f>'DOE25'!H12</f>
        <v>67391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96441</v>
      </c>
      <c r="E12" s="95">
        <f>'DOE25'!H13</f>
        <v>183590</v>
      </c>
      <c r="F12" s="95">
        <f>'DOE25'!I13</f>
        <v>0</v>
      </c>
      <c r="G12" s="95">
        <f>'DOE25'!J13</f>
        <v>555585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118613</v>
      </c>
      <c r="D13" s="95">
        <f>'DOE25'!G14</f>
        <v>2594</v>
      </c>
      <c r="E13" s="95">
        <f>'DOE25'!H14</f>
        <v>19098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33952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2883134</v>
      </c>
      <c r="D18" s="41">
        <f>SUM(D8:D17)</f>
        <v>157994</v>
      </c>
      <c r="E18" s="41">
        <f>SUM(E8:E17)</f>
        <v>270079</v>
      </c>
      <c r="F18" s="41">
        <f>SUM(F8:F17)</f>
        <v>0</v>
      </c>
      <c r="G18" s="41">
        <f>SUM(G8:G17)</f>
        <v>555585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154570</v>
      </c>
      <c r="E21" s="95">
        <f>'DOE25'!H22</f>
        <v>131671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128094</v>
      </c>
      <c r="D23" s="95">
        <f>'DOE25'!G24</f>
        <v>1993</v>
      </c>
      <c r="E23" s="95">
        <f>'DOE25'!H24</f>
        <v>1203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1557959</v>
      </c>
      <c r="D27" s="95">
        <f>'DOE25'!G28</f>
        <v>962</v>
      </c>
      <c r="E27" s="95">
        <f>'DOE25'!H28</f>
        <v>51078</v>
      </c>
      <c r="F27" s="95">
        <f>'DOE25'!I28</f>
        <v>79023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68898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1686053</v>
      </c>
      <c r="D31" s="41">
        <f>SUM(D21:D30)</f>
        <v>157525</v>
      </c>
      <c r="E31" s="41">
        <f>SUM(E21:E30)</f>
        <v>252850</v>
      </c>
      <c r="F31" s="41">
        <f>SUM(F21:F30)</f>
        <v>79023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33952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-33483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17229</v>
      </c>
      <c r="F47" s="95">
        <f>'DOE25'!I48</f>
        <v>-79023</v>
      </c>
      <c r="G47" s="95">
        <f>'DOE25'!J48</f>
        <v>555585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200000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997081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1197081</v>
      </c>
      <c r="D50" s="41">
        <f>SUM(D34:D49)</f>
        <v>469</v>
      </c>
      <c r="E50" s="41">
        <f>SUM(E34:E49)</f>
        <v>17229</v>
      </c>
      <c r="F50" s="41">
        <f>SUM(F34:F49)</f>
        <v>-79023</v>
      </c>
      <c r="G50" s="41">
        <f>SUM(G34:G49)</f>
        <v>555585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2883134</v>
      </c>
      <c r="D51" s="41">
        <f>D50+D31</f>
        <v>157994</v>
      </c>
      <c r="E51" s="41">
        <f>E50+E31</f>
        <v>270079</v>
      </c>
      <c r="F51" s="41">
        <f>F50+F31</f>
        <v>0</v>
      </c>
      <c r="G51" s="41">
        <f>G50+G31</f>
        <v>555585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20252106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774623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</v>
      </c>
      <c r="D59" s="95">
        <f>'DOE25'!G96</f>
        <v>841</v>
      </c>
      <c r="E59" s="95">
        <f>'DOE25'!H96</f>
        <v>0</v>
      </c>
      <c r="F59" s="95">
        <f>'DOE25'!I96</f>
        <v>0</v>
      </c>
      <c r="G59" s="95">
        <f>'DOE25'!J96</f>
        <v>6062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611128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73596</v>
      </c>
      <c r="D61" s="95">
        <f>SUM('DOE25'!G98:G110)</f>
        <v>15186</v>
      </c>
      <c r="E61" s="95">
        <f>SUM('DOE25'!H98:H110)</f>
        <v>28331</v>
      </c>
      <c r="F61" s="95">
        <f>SUM('DOE25'!I98:I110)</f>
        <v>0</v>
      </c>
      <c r="G61" s="95">
        <f>SUM('DOE25'!J98:J110)</f>
        <v>568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848253</v>
      </c>
      <c r="D62" s="130">
        <f>SUM(D57:D61)</f>
        <v>627155</v>
      </c>
      <c r="E62" s="130">
        <f>SUM(E57:E61)</f>
        <v>28331</v>
      </c>
      <c r="F62" s="130">
        <f>SUM(F57:F61)</f>
        <v>0</v>
      </c>
      <c r="G62" s="130">
        <f>SUM(G57:G61)</f>
        <v>6630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21100359</v>
      </c>
      <c r="D63" s="22">
        <f>D56+D62</f>
        <v>627155</v>
      </c>
      <c r="E63" s="22">
        <f>E56+E62</f>
        <v>28331</v>
      </c>
      <c r="F63" s="22">
        <f>F56+F62</f>
        <v>0</v>
      </c>
      <c r="G63" s="22">
        <f>G56+G62</f>
        <v>6630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10223219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3313011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13536230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1344390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187962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19415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14659</v>
      </c>
      <c r="E77" s="95">
        <f>SUM('DOE25'!H131:H135)</f>
        <v>38307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1551767</v>
      </c>
      <c r="D78" s="130">
        <f>SUM(D72:D77)</f>
        <v>14659</v>
      </c>
      <c r="E78" s="130">
        <f>SUM(E72:E77)</f>
        <v>38307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15087997</v>
      </c>
      <c r="D81" s="130">
        <f>SUM(D79:D80)+D78+D70</f>
        <v>14659</v>
      </c>
      <c r="E81" s="130">
        <f>SUM(E79:E80)+E78+E70</f>
        <v>38307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54230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542012</v>
      </c>
      <c r="D88" s="95">
        <f>SUM('DOE25'!G153:G161)</f>
        <v>526961</v>
      </c>
      <c r="E88" s="95">
        <f>SUM('DOE25'!H153:H161)</f>
        <v>1187445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542012</v>
      </c>
      <c r="D91" s="131">
        <f>SUM(D85:D90)</f>
        <v>526961</v>
      </c>
      <c r="E91" s="131">
        <f>SUM(E85:E90)</f>
        <v>1241675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16533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16533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36730368</v>
      </c>
      <c r="D104" s="86">
        <f>D63+D81+D91+D103</f>
        <v>1185308</v>
      </c>
      <c r="E104" s="86">
        <f>E63+E81+E91+E103</f>
        <v>1308313</v>
      </c>
      <c r="F104" s="86">
        <f>F63+F81+F91+F103</f>
        <v>0</v>
      </c>
      <c r="G104" s="86">
        <f>G63+G81+G103</f>
        <v>6630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13639656</v>
      </c>
      <c r="D109" s="24" t="s">
        <v>289</v>
      </c>
      <c r="E109" s="95">
        <f>('DOE25'!L276)+('DOE25'!L295)+('DOE25'!L314)</f>
        <v>416752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6450767</v>
      </c>
      <c r="D110" s="24" t="s">
        <v>289</v>
      </c>
      <c r="E110" s="95">
        <f>('DOE25'!L277)+('DOE25'!L296)+('DOE25'!L315)</f>
        <v>353489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205913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566490</v>
      </c>
      <c r="D112" s="24" t="s">
        <v>289</v>
      </c>
      <c r="E112" s="95">
        <f>+('DOE25'!L279)+('DOE25'!L298)+('DOE25'!L317)</f>
        <v>21418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-97</v>
      </c>
      <c r="D114" s="24" t="s">
        <v>289</v>
      </c>
      <c r="E114" s="95">
        <f>+ SUM('DOE25'!L333:L335)</f>
        <v>23868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20862729</v>
      </c>
      <c r="D115" s="86">
        <f>SUM(D109:D114)</f>
        <v>0</v>
      </c>
      <c r="E115" s="86">
        <f>SUM(E109:E114)</f>
        <v>815527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4118640</v>
      </c>
      <c r="D118" s="24" t="s">
        <v>289</v>
      </c>
      <c r="E118" s="95">
        <f>+('DOE25'!L281)+('DOE25'!L300)+('DOE25'!L319)</f>
        <v>180464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1306549</v>
      </c>
      <c r="D119" s="24" t="s">
        <v>289</v>
      </c>
      <c r="E119" s="95">
        <f>+('DOE25'!L282)+('DOE25'!L301)+('DOE25'!L320)</f>
        <v>219324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926160</v>
      </c>
      <c r="D120" s="24" t="s">
        <v>289</v>
      </c>
      <c r="E120" s="95">
        <f>+('DOE25'!L283)+('DOE25'!L302)+('DOE25'!L321)</f>
        <v>28468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1806065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4500</v>
      </c>
      <c r="D122" s="24" t="s">
        <v>289</v>
      </c>
      <c r="E122" s="95">
        <f>+('DOE25'!L285)+('DOE25'!L304)+('DOE25'!L323)</f>
        <v>23111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3570161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2095790</v>
      </c>
      <c r="D124" s="24" t="s">
        <v>289</v>
      </c>
      <c r="E124" s="95">
        <f>+('DOE25'!L287)+('DOE25'!L306)+('DOE25'!L325)</f>
        <v>3000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282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1184839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13827865</v>
      </c>
      <c r="D128" s="86">
        <f>SUM(D118:D127)</f>
        <v>1184839</v>
      </c>
      <c r="E128" s="86">
        <f>SUM(E118:E127)</f>
        <v>454649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141040</v>
      </c>
      <c r="D130" s="24" t="s">
        <v>289</v>
      </c>
      <c r="E130" s="129">
        <f>'DOE25'!L336</f>
        <v>38137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1980000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34650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16533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2150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4480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-6630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2172223</v>
      </c>
      <c r="D144" s="141">
        <f>SUM(D130:D143)</f>
        <v>0</v>
      </c>
      <c r="E144" s="141">
        <f>SUM(E130:E143)</f>
        <v>38137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36862817</v>
      </c>
      <c r="D145" s="86">
        <f>(D115+D128+D144)</f>
        <v>1184839</v>
      </c>
      <c r="E145" s="86">
        <f>(E115+E128+E144)</f>
        <v>1308313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10/14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19836029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3.25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1980000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Merrimack Valley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13271</v>
      </c>
    </row>
    <row r="5" spans="1:4" x14ac:dyDescent="0.2">
      <c r="B5" t="s">
        <v>704</v>
      </c>
      <c r="C5" s="179">
        <f>IF('DOE25'!G665+'DOE25'!G670=0,0,ROUND('DOE25'!G672,0))</f>
        <v>12579</v>
      </c>
    </row>
    <row r="6" spans="1:4" x14ac:dyDescent="0.2">
      <c r="B6" t="s">
        <v>62</v>
      </c>
      <c r="C6" s="179">
        <f>IF('DOE25'!H665+'DOE25'!H670=0,0,ROUND('DOE25'!H672,0))</f>
        <v>12643</v>
      </c>
    </row>
    <row r="7" spans="1:4" x14ac:dyDescent="0.2">
      <c r="B7" t="s">
        <v>705</v>
      </c>
      <c r="C7" s="179">
        <f>IF('DOE25'!I665+'DOE25'!I670=0,0,ROUND('DOE25'!I672,0))</f>
        <v>12908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14056408</v>
      </c>
      <c r="D10" s="182">
        <f>ROUND((C10/$C$28)*100,1)</f>
        <v>38.5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6804256</v>
      </c>
      <c r="D11" s="182">
        <f>ROUND((C11/$C$28)*100,1)</f>
        <v>18.600000000000001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205913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587908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4299104</v>
      </c>
      <c r="D15" s="182">
        <f t="shared" ref="D15:D27" si="0">ROUND((C15/$C$28)*100,1)</f>
        <v>11.8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1525873</v>
      </c>
      <c r="D16" s="182">
        <f t="shared" si="0"/>
        <v>4.2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954910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1806065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27611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3570161</v>
      </c>
      <c r="D20" s="182">
        <f t="shared" si="0"/>
        <v>9.8000000000000007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2098790</v>
      </c>
      <c r="D21" s="182">
        <f t="shared" si="0"/>
        <v>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23771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34650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558525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36553945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179177</v>
      </c>
    </row>
    <row r="30" spans="1:4" x14ac:dyDescent="0.2">
      <c r="B30" s="187" t="s">
        <v>729</v>
      </c>
      <c r="C30" s="180">
        <f>SUM(C28:C29)</f>
        <v>36733122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1980000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20252106</v>
      </c>
      <c r="D35" s="182">
        <f t="shared" ref="D35:D40" si="1">ROUND((C35/$C$41)*100,1)</f>
        <v>52.5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884055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13536230</v>
      </c>
      <c r="D37" s="182">
        <f t="shared" si="1"/>
        <v>35.1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1604733</v>
      </c>
      <c r="D38" s="182">
        <f t="shared" si="1"/>
        <v>4.2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2310648</v>
      </c>
      <c r="D39" s="182">
        <f t="shared" si="1"/>
        <v>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38587772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2" t="str">
        <f>'DOE25'!A2</f>
        <v>Merrimack Valley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30A" sheet="1" objects="1" scenarios="1"/>
  <mergeCells count="223">
    <mergeCell ref="DC40:DM40"/>
    <mergeCell ref="EP40:EZ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P40:Z40"/>
    <mergeCell ref="AC40:AM40"/>
    <mergeCell ref="AP40:AZ40"/>
    <mergeCell ref="C42:M42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BP38:BZ38"/>
    <mergeCell ref="CC38:CM38"/>
    <mergeCell ref="DC38:DM38"/>
    <mergeCell ref="DP38:DZ38"/>
    <mergeCell ref="EC38:EM38"/>
    <mergeCell ref="FP31:FZ31"/>
    <mergeCell ref="GC31:GM31"/>
    <mergeCell ref="GP31:GZ31"/>
    <mergeCell ref="HC31:HM31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GC32:GM32"/>
    <mergeCell ref="BC31:BM31"/>
    <mergeCell ref="BC32:BM32"/>
    <mergeCell ref="BC39:BM39"/>
    <mergeCell ref="BP31:BZ31"/>
    <mergeCell ref="CC31:CM31"/>
    <mergeCell ref="AP32:AZ32"/>
    <mergeCell ref="IC31:IM31"/>
    <mergeCell ref="IP31:IV31"/>
    <mergeCell ref="CP32:CZ32"/>
    <mergeCell ref="DC32:DM32"/>
    <mergeCell ref="CC32:CM32"/>
    <mergeCell ref="DP32:DZ32"/>
    <mergeCell ref="EC32:EM32"/>
    <mergeCell ref="EP32:EZ32"/>
    <mergeCell ref="FC32:FM32"/>
    <mergeCell ref="BP32:BZ32"/>
    <mergeCell ref="CP31:CZ31"/>
    <mergeCell ref="FP32:FZ32"/>
    <mergeCell ref="DC31:DM31"/>
    <mergeCell ref="DP31:DZ31"/>
    <mergeCell ref="EC31:EM31"/>
    <mergeCell ref="EP31:EZ31"/>
    <mergeCell ref="HP31:HZ31"/>
    <mergeCell ref="FC31:FM31"/>
    <mergeCell ref="EC29:EM29"/>
    <mergeCell ref="EP29:EZ29"/>
    <mergeCell ref="FC29:FM29"/>
    <mergeCell ref="CP29:CZ29"/>
    <mergeCell ref="IC30:IM30"/>
    <mergeCell ref="IP30:IV30"/>
    <mergeCell ref="GC30:GM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30:DZ30"/>
    <mergeCell ref="DC29:DM29"/>
    <mergeCell ref="EC30:EM30"/>
    <mergeCell ref="EP30:EZ30"/>
    <mergeCell ref="CP30:CZ30"/>
    <mergeCell ref="HP30:HZ30"/>
    <mergeCell ref="FC30:FM30"/>
    <mergeCell ref="FP30:F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C35:M35"/>
    <mergeCell ref="C36:M36"/>
    <mergeCell ref="C38:M38"/>
    <mergeCell ref="C65:M65"/>
    <mergeCell ref="C56:M56"/>
    <mergeCell ref="C57:M57"/>
    <mergeCell ref="C59:M59"/>
    <mergeCell ref="C60:M60"/>
    <mergeCell ref="C58:M58"/>
    <mergeCell ref="C62:M62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61:M6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2015-09-14T15:45:49Z</cp:lastPrinted>
  <dcterms:created xsi:type="dcterms:W3CDTF">1997-12-04T19:04:30Z</dcterms:created>
  <dcterms:modified xsi:type="dcterms:W3CDTF">2015-11-30T13:29:54Z</dcterms:modified>
</cp:coreProperties>
</file>