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75" i="1" l="1"/>
  <c r="I9" i="1"/>
  <c r="H376" i="1"/>
  <c r="H242" i="1"/>
  <c r="H240" i="1"/>
  <c r="H206" i="1"/>
  <c r="H20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22" i="2" s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H25" i="13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3" i="1" s="1"/>
  <c r="C138" i="2" s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56" i="2" s="1"/>
  <c r="F79" i="1"/>
  <c r="F94" i="1"/>
  <c r="C58" i="2" s="1"/>
  <c r="F111" i="1"/>
  <c r="G111" i="1"/>
  <c r="G112" i="1" s="1"/>
  <c r="H79" i="1"/>
  <c r="H94" i="1"/>
  <c r="H111" i="1"/>
  <c r="I111" i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C15" i="10"/>
  <c r="C16" i="10"/>
  <c r="C18" i="10"/>
  <c r="L250" i="1"/>
  <c r="L332" i="1"/>
  <c r="L254" i="1"/>
  <c r="L268" i="1"/>
  <c r="L269" i="1"/>
  <c r="L349" i="1"/>
  <c r="L350" i="1"/>
  <c r="I665" i="1"/>
  <c r="I670" i="1"/>
  <c r="L229" i="1"/>
  <c r="F661" i="1"/>
  <c r="G661" i="1"/>
  <c r="H661" i="1"/>
  <c r="G662" i="1"/>
  <c r="I669" i="1"/>
  <c r="C42" i="10"/>
  <c r="C32" i="10"/>
  <c r="L374" i="1"/>
  <c r="L375" i="1"/>
  <c r="L376" i="1"/>
  <c r="F130" i="2" s="1"/>
  <c r="L377" i="1"/>
  <c r="L378" i="1"/>
  <c r="L379" i="1"/>
  <c r="L380" i="1"/>
  <c r="B2" i="10"/>
  <c r="L344" i="1"/>
  <c r="L345" i="1"/>
  <c r="L346" i="1"/>
  <c r="L347" i="1"/>
  <c r="L351" i="1" s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7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C121" i="2"/>
  <c r="E121" i="2"/>
  <c r="E122" i="2"/>
  <c r="E123" i="2"/>
  <c r="E124" i="2"/>
  <c r="C125" i="2"/>
  <c r="E125" i="2"/>
  <c r="D127" i="2"/>
  <c r="D128" i="2" s="1"/>
  <c r="F128" i="2"/>
  <c r="G128" i="2"/>
  <c r="C130" i="2"/>
  <c r="E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J257" i="1" s="1"/>
  <c r="J271" i="1" s="1"/>
  <c r="K247" i="1"/>
  <c r="K257" i="1" s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J640" i="1" s="1"/>
  <c r="H446" i="1"/>
  <c r="G641" i="1" s="1"/>
  <c r="F452" i="1"/>
  <c r="G452" i="1"/>
  <c r="H452" i="1"/>
  <c r="I452" i="1"/>
  <c r="F460" i="1"/>
  <c r="G460" i="1"/>
  <c r="H460" i="1"/>
  <c r="H461" i="1" s="1"/>
  <c r="H641" i="1" s="1"/>
  <c r="F461" i="1"/>
  <c r="G461" i="1"/>
  <c r="F470" i="1"/>
  <c r="G470" i="1"/>
  <c r="H470" i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I545" i="1" s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H640" i="1"/>
  <c r="G643" i="1"/>
  <c r="H643" i="1"/>
  <c r="G644" i="1"/>
  <c r="H644" i="1"/>
  <c r="G650" i="1"/>
  <c r="G652" i="1"/>
  <c r="H652" i="1"/>
  <c r="G653" i="1"/>
  <c r="H653" i="1"/>
  <c r="G654" i="1"/>
  <c r="H654" i="1"/>
  <c r="H655" i="1"/>
  <c r="J655" i="1" s="1"/>
  <c r="F192" i="1"/>
  <c r="L256" i="1"/>
  <c r="G164" i="2"/>
  <c r="C26" i="10"/>
  <c r="L328" i="1"/>
  <c r="L290" i="1"/>
  <c r="A40" i="12"/>
  <c r="D12" i="13"/>
  <c r="C12" i="13" s="1"/>
  <c r="D62" i="2"/>
  <c r="D63" i="2" s="1"/>
  <c r="D18" i="13"/>
  <c r="C18" i="13" s="1"/>
  <c r="D7" i="13"/>
  <c r="C7" i="13" s="1"/>
  <c r="D18" i="2"/>
  <c r="D17" i="13"/>
  <c r="C17" i="13" s="1"/>
  <c r="D6" i="13"/>
  <c r="C6" i="13" s="1"/>
  <c r="F78" i="2"/>
  <c r="F81" i="2" s="1"/>
  <c r="D31" i="2"/>
  <c r="C78" i="2"/>
  <c r="D50" i="2"/>
  <c r="G157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E78" i="2"/>
  <c r="E81" i="2" s="1"/>
  <c r="L427" i="1"/>
  <c r="H112" i="1"/>
  <c r="J639" i="1"/>
  <c r="J571" i="1"/>
  <c r="K571" i="1"/>
  <c r="L433" i="1"/>
  <c r="L419" i="1"/>
  <c r="D81" i="2"/>
  <c r="I169" i="1"/>
  <c r="H169" i="1"/>
  <c r="J644" i="1"/>
  <c r="J643" i="1"/>
  <c r="H476" i="1"/>
  <c r="H624" i="1" s="1"/>
  <c r="J624" i="1" s="1"/>
  <c r="G476" i="1"/>
  <c r="H623" i="1" s="1"/>
  <c r="J623" i="1" s="1"/>
  <c r="G338" i="1"/>
  <c r="G352" i="1" s="1"/>
  <c r="F169" i="1"/>
  <c r="J140" i="1"/>
  <c r="F571" i="1"/>
  <c r="I552" i="1"/>
  <c r="K550" i="1"/>
  <c r="G22" i="2"/>
  <c r="K598" i="1"/>
  <c r="G647" i="1" s="1"/>
  <c r="K545" i="1"/>
  <c r="I661" i="1"/>
  <c r="H140" i="1"/>
  <c r="L401" i="1"/>
  <c r="C139" i="2" s="1"/>
  <c r="A13" i="12"/>
  <c r="F22" i="13"/>
  <c r="J634" i="1"/>
  <c r="H571" i="1"/>
  <c r="L560" i="1"/>
  <c r="J545" i="1"/>
  <c r="H338" i="1"/>
  <c r="H352" i="1" s="1"/>
  <c r="F338" i="1"/>
  <c r="F352" i="1" s="1"/>
  <c r="G192" i="1"/>
  <c r="H192" i="1"/>
  <c r="E128" i="2"/>
  <c r="L309" i="1"/>
  <c r="E16" i="13"/>
  <c r="L570" i="1"/>
  <c r="I571" i="1"/>
  <c r="G36" i="2"/>
  <c r="L565" i="1"/>
  <c r="C22" i="13"/>
  <c r="C16" i="13"/>
  <c r="J476" i="1" l="1"/>
  <c r="H626" i="1" s="1"/>
  <c r="G408" i="1"/>
  <c r="H645" i="1" s="1"/>
  <c r="K551" i="1"/>
  <c r="L534" i="1"/>
  <c r="G552" i="1"/>
  <c r="L529" i="1"/>
  <c r="G545" i="1"/>
  <c r="L524" i="1"/>
  <c r="L545" i="1" s="1"/>
  <c r="C70" i="2"/>
  <c r="K549" i="1"/>
  <c r="K552" i="1" s="1"/>
  <c r="C18" i="2"/>
  <c r="K271" i="1"/>
  <c r="G645" i="1"/>
  <c r="H545" i="1"/>
  <c r="I460" i="1"/>
  <c r="I461" i="1" s="1"/>
  <c r="H642" i="1" s="1"/>
  <c r="J641" i="1"/>
  <c r="I446" i="1"/>
  <c r="G642" i="1" s="1"/>
  <c r="J642" i="1" s="1"/>
  <c r="C25" i="13"/>
  <c r="H33" i="13"/>
  <c r="C25" i="10"/>
  <c r="K352" i="1"/>
  <c r="J622" i="1"/>
  <c r="J617" i="1"/>
  <c r="I52" i="1"/>
  <c r="H620" i="1" s="1"/>
  <c r="J620" i="1" s="1"/>
  <c r="G625" i="1"/>
  <c r="I476" i="1"/>
  <c r="H625" i="1" s="1"/>
  <c r="C29" i="10"/>
  <c r="L382" i="1"/>
  <c r="G636" i="1" s="1"/>
  <c r="J636" i="1" s="1"/>
  <c r="C21" i="10"/>
  <c r="G651" i="1"/>
  <c r="J651" i="1" s="1"/>
  <c r="C20" i="10"/>
  <c r="C19" i="10"/>
  <c r="C120" i="2"/>
  <c r="I257" i="1"/>
  <c r="I271" i="1" s="1"/>
  <c r="F257" i="1"/>
  <c r="F271" i="1" s="1"/>
  <c r="C110" i="2"/>
  <c r="L247" i="1"/>
  <c r="H660" i="1" s="1"/>
  <c r="H664" i="1" s="1"/>
  <c r="C10" i="10"/>
  <c r="H257" i="1"/>
  <c r="H271" i="1" s="1"/>
  <c r="C17" i="10"/>
  <c r="G649" i="1"/>
  <c r="J649" i="1" s="1"/>
  <c r="C124" i="2"/>
  <c r="C128" i="2" s="1"/>
  <c r="H647" i="1"/>
  <c r="J647" i="1" s="1"/>
  <c r="D15" i="13"/>
  <c r="C15" i="13" s="1"/>
  <c r="F662" i="1"/>
  <c r="I662" i="1" s="1"/>
  <c r="D14" i="13"/>
  <c r="C14" i="13" s="1"/>
  <c r="C123" i="2"/>
  <c r="E13" i="13"/>
  <c r="C13" i="13" s="1"/>
  <c r="E8" i="13"/>
  <c r="C8" i="13" s="1"/>
  <c r="L211" i="1"/>
  <c r="F660" i="1" s="1"/>
  <c r="C109" i="2"/>
  <c r="D5" i="13"/>
  <c r="C5" i="13" s="1"/>
  <c r="C11" i="10"/>
  <c r="I112" i="1"/>
  <c r="C35" i="10"/>
  <c r="F112" i="1"/>
  <c r="C62" i="2"/>
  <c r="C63" i="2" s="1"/>
  <c r="C81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G63" i="2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19" i="1"/>
  <c r="D103" i="2"/>
  <c r="D104" i="2" s="1"/>
  <c r="I140" i="1"/>
  <c r="A22" i="12"/>
  <c r="G50" i="2"/>
  <c r="G51" i="2" s="1"/>
  <c r="H648" i="1"/>
  <c r="J648" i="1" s="1"/>
  <c r="J652" i="1"/>
  <c r="G571" i="1"/>
  <c r="I434" i="1"/>
  <c r="G434" i="1"/>
  <c r="E104" i="2"/>
  <c r="I663" i="1"/>
  <c r="C27" i="10"/>
  <c r="G635" i="1"/>
  <c r="J635" i="1" s="1"/>
  <c r="J645" i="1" l="1"/>
  <c r="H646" i="1"/>
  <c r="J646" i="1" s="1"/>
  <c r="G104" i="2"/>
  <c r="C36" i="10"/>
  <c r="C115" i="2"/>
  <c r="J625" i="1"/>
  <c r="H667" i="1"/>
  <c r="H672" i="1"/>
  <c r="C6" i="10" s="1"/>
  <c r="F664" i="1"/>
  <c r="F672" i="1" s="1"/>
  <c r="C4" i="10" s="1"/>
  <c r="E33" i="13"/>
  <c r="D35" i="13" s="1"/>
  <c r="L257" i="1"/>
  <c r="L271" i="1" s="1"/>
  <c r="G632" i="1" s="1"/>
  <c r="J632" i="1" s="1"/>
  <c r="C28" i="10"/>
  <c r="D24" i="10" s="1"/>
  <c r="I660" i="1"/>
  <c r="I664" i="1" s="1"/>
  <c r="I672" i="1" s="1"/>
  <c r="C7" i="10" s="1"/>
  <c r="C145" i="2"/>
  <c r="F104" i="2"/>
  <c r="I193" i="1"/>
  <c r="G630" i="1" s="1"/>
  <c r="J630" i="1" s="1"/>
  <c r="F193" i="1"/>
  <c r="G627" i="1" s="1"/>
  <c r="J627" i="1" s="1"/>
  <c r="C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F667" i="1" l="1"/>
  <c r="D12" i="10"/>
  <c r="D16" i="10"/>
  <c r="D19" i="10"/>
  <c r="C30" i="10"/>
  <c r="D10" i="10"/>
  <c r="D22" i="10"/>
  <c r="D23" i="10"/>
  <c r="D18" i="10"/>
  <c r="D11" i="10"/>
  <c r="D26" i="10"/>
  <c r="D15" i="10"/>
  <c r="D20" i="10"/>
  <c r="D25" i="10"/>
  <c r="D13" i="10"/>
  <c r="D21" i="10"/>
  <c r="D27" i="10"/>
  <c r="D17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<sst xmlns="http://schemas.openxmlformats.org/spreadsheetml/2006/main" count="3956" uniqueCount="914">
  <si>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</si>
  <si>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</si>
  <si>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</si>
  <si>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</si>
  <si>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</si>
  <si>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</si>
  <si>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</si>
  <si>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</si>
  <si>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</si>
  <si>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</si>
  <si>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</si>
  <si>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</si>
  <si>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</si>
  <si>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</si>
  <si>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</si>
  <si>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</si>
  <si>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</si>
  <si>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</si>
  <si>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</si>
  <si>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</si>
  <si>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</si>
  <si>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</si>
  <si>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</si>
  <si>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</si>
  <si>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</si>
  <si>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</si>
  <si>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</si>
  <si>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</si>
  <si>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</si>
  <si>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</si>
  <si>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</si>
  <si>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</si>
  <si>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</si>
  <si>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</si>
  <si>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</si>
  <si>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</si>
  <si>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</si>
  <si>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</si>
  <si>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</si>
  <si>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</si>
  <si>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</si>
  <si>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</si>
  <si>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</si>
  <si>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</si>
  <si>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</si>
  <si>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</si>
  <si>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</si>
  <si>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</si>
  <si>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</si>
  <si>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</si>
  <si>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</si>
  <si>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</si>
  <si>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</si>
  <si>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</si>
  <si>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</si>
  <si>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</si>
  <si>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</si>
  <si>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</si>
  <si>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</si>
  <si>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</si>
  <si>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</si>
  <si>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</si>
  <si>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</si>
  <si>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</si>
  <si>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</si>
  <si>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</si>
  <si>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</si>
  <si>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</si>
  <si>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</si>
  <si>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</si>
  <si>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</si>
  <si>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</si>
  <si>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</si>
  <si>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</si>
  <si>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</si>
  <si>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</si>
  <si>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</si>
  <si>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</si>
  <si>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</si>
  <si>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</si>
  <si>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</si>
  <si>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</si>
  <si>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</si>
  <si>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</si>
  <si>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</si>
  <si>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</si>
  <si>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</si>
  <si>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</si>
  <si>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</si>
  <si>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</si>
  <si>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</si>
  <si>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</si>
  <si>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</si>
  <si>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</si>
  <si>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</si>
  <si>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</si>
  <si>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</si>
  <si>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</si>
  <si>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</si>
  <si>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</si>
  <si>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</si>
  <si>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</si>
  <si>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</si>
  <si>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</si>
  <si>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</si>
  <si>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</si>
  <si>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</si>
  <si>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</si>
  <si>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</si>
  <si>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</si>
  <si>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</si>
  <si>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</si>
  <si>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</si>
  <si>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</si>
  <si>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</si>
  <si>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</si>
  <si>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</si>
  <si>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</si>
  <si>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</si>
  <si>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</si>
  <si>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</si>
  <si>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</si>
  <si>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</si>
  <si>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</si>
  <si>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</si>
  <si>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</si>
  <si>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</si>
  <si>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</si>
  <si>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</si>
  <si>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</si>
  <si>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</si>
  <si>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</si>
  <si>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</si>
  <si>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</si>
  <si>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</si>
  <si>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</si>
  <si>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</si>
  <si>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</si>
  <si>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</si>
  <si>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</si>
  <si>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</si>
  <si>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</si>
  <si>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</si>
  <si>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</si>
  <si>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</si>
  <si>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</si>
  <si>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</si>
  <si>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</si>
  <si>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</si>
  <si>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</si>
  <si>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</si>
  <si>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</si>
  <si>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</si>
  <si>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</si>
  <si>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</si>
  <si>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</si>
  <si>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</si>
  <si>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</si>
  <si>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</si>
  <si>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</si>
  <si>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</si>
  <si>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</si>
  <si>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</si>
  <si>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</si>
  <si>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</si>
  <si>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</si>
  <si>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</si>
  <si>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</si>
  <si>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</si>
  <si>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</si>
  <si>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</si>
  <si>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</si>
  <si>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</si>
  <si>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</si>
  <si>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</si>
  <si>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</si>
  <si>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</si>
  <si>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</si>
  <si>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</si>
  <si>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</si>
  <si>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</si>
  <si>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</si>
  <si>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</si>
  <si>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</si>
  <si>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</si>
  <si>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</si>
  <si>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</si>
  <si>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</si>
  <si>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</si>
  <si>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</si>
  <si>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</si>
  <si>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</si>
  <si>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</si>
  <si>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</si>
  <si>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</si>
  <si>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</si>
  <si>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</si>
  <si>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</si>
  <si>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</si>
  <si>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</si>
  <si>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</si>
  <si>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</si>
  <si>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</si>
  <si>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</si>
  <si>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</si>
  <si>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</si>
  <si>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</si>
  <si>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</si>
  <si>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</si>
  <si>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</si>
  <si>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</si>
  <si>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</si>
  <si>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</si>
  <si>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</si>
  <si>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</si>
  <si>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</si>
  <si>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</si>
  <si>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</si>
  <si>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</si>
  <si>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</si>
  <si>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</si>
  <si>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</si>
  <si>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</si>
  <si>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</si>
  <si>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</si>
  <si>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</si>
  <si>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</si>
  <si>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</si>
  <si>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</si>
  <si>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</si>
  <si>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</si>
  <si>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</si>
  <si>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</si>
  <si>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</si>
  <si>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</si>
  <si>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</si>
  <si>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</si>
  <si>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</si>
  <si>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</si>
  <si>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</si>
  <si>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</si>
  <si>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</si>
  <si>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</si>
  <si>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</si>
  <si>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</si>
  <si>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</si>
  <si>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</si>
  <si>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</si>
  <si>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</si>
  <si>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</si>
  <si>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</si>
  <si>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</si>
  <si>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</si>
  <si>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</si>
  <si>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</si>
  <si>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</si>
  <si>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</si>
  <si>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</si>
  <si>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</si>
  <si>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</si>
  <si>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</si>
  <si>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</si>
  <si>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</si>
  <si>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</si>
  <si>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</si>
  <si>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</si>
  <si>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</si>
  <si>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</si>
  <si>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</si>
  <si>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</si>
  <si>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</si>
  <si>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</si>
  <si>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</si>
  <si>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</si>
  <si>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</si>
  <si>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</si>
  <si>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</si>
  <si>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</si>
  <si>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</si>
  <si>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</si>
  <si>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</si>
  <si>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</si>
  <si>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</si>
  <si>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</si>
  <si>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</si>
  <si>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</si>
  <si>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</si>
  <si>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</si>
  <si>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</si>
  <si>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</si>
  <si>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</si>
  <si>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</si>
  <si>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</si>
  <si>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</si>
  <si>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</si>
  <si>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</si>
  <si>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</si>
  <si>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</si>
  <si>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</si>
  <si>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</si>
  <si>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</si>
  <si>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</si>
  <si>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</si>
  <si>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</si>
  <si>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</si>
  <si>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</si>
  <si>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</si>
  <si>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</si>
  <si>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</si>
  <si>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</si>
  <si>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</si>
  <si>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</si>
  <si>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</si>
  <si>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</si>
  <si>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</si>
  <si>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</si>
  <si>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</si>
  <si>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</si>
  <si>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</si>
  <si>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</si>
  <si>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</si>
  <si>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</si>
  <si>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</si>
  <si>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</si>
  <si>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</si>
  <si>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</si>
  <si>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</si>
  <si>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</si>
  <si>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</si>
  <si>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</si>
  <si>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</si>
  <si>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</si>
  <si>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</si>
  <si>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</si>
  <si>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</si>
  <si>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</si>
  <si>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</si>
  <si>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</si>
  <si>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</si>
  <si>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</si>
  <si>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</si>
  <si>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</si>
  <si>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</si>
  <si>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</si>
  <si>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</si>
  <si>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</si>
  <si>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</si>
  <si>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</si>
  <si>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</si>
  <si>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</si>
  <si>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</si>
  <si>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</si>
  <si>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</si>
  <si>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</si>
  <si>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</si>
  <si>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</si>
  <si>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</si>
  <si>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</si>
  <si>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</si>
  <si>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</si>
  <si>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</si>
  <si>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</si>
  <si>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</si>
  <si>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</si>
  <si>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</si>
  <si>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</si>
  <si>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</si>
  <si>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</si>
  <si>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</si>
  <si>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</si>
  <si>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</si>
  <si>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</si>
  <si>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</si>
  <si>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</si>
  <si>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</si>
  <si>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</si>
  <si>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</si>
  <si>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</si>
  <si>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</si>
  <si>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</si>
  <si>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</si>
  <si>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</si>
  <si>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</si>
  <si>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</si>
  <si>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</si>
  <si>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</si>
  <si>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</si>
  <si>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</si>
  <si>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</si>
  <si>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</si>
  <si>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</si>
  <si>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</si>
  <si>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</si>
  <si>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</si>
  <si>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</si>
  <si>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</si>
  <si>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</si>
  <si>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</si>
  <si>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</si>
  <si>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</si>
  <si>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</si>
  <si>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</si>
  <si>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</si>
  <si>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</si>
  <si>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</si>
  <si>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</si>
  <si>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</si>
  <si>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</si>
  <si>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</si>
  <si>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</si>
  <si>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</si>
  <si>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</si>
  <si>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</si>
  <si>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</si>
  <si>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</si>
  <si>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</si>
  <si>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</si>
  <si>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</si>
  <si>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</si>
  <si>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</si>
  <si>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</si>
  <si>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</si>
  <si>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</si>
  <si>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</si>
  <si>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</si>
  <si>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</si>
  <si>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</si>
  <si>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</si>
  <si>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</si>
  <si>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</si>
  <si>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</si>
  <si>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</si>
  <si>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</si>
  <si>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</si>
  <si>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</si>
  <si>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</si>
  <si>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</si>
  <si>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</si>
  <si>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</si>
  <si>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</si>
  <si>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</si>
  <si>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</si>
  <si>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</si>
  <si>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</si>
  <si>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</si>
  <si>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</si>
  <si>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</si>
  <si>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</si>
  <si>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</si>
  <si>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</si>
  <si>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</si>
  <si>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</si>
  <si>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</si>
  <si>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</si>
  <si>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</si>
  <si>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</si>
  <si>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</si>
  <si>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</si>
  <si>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</si>
  <si>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</si>
  <si>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</si>
  <si>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</si>
  <si>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</si>
  <si>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</si>
  <si>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</si>
  <si>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</si>
  <si>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</si>
  <si>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</si>
  <si>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</si>
  <si>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</si>
  <si>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</si>
  <si>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</si>
  <si>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</si>
  <si>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</si>
  <si>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</si>
  <si>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</si>
  <si>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</si>
  <si>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</si>
  <si>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</si>
  <si>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</si>
  <si>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</si>
  <si>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</si>
  <si>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</si>
  <si>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</si>
  <si>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</si>
  <si>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</si>
  <si>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</si>
  <si>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</si>
  <si>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</si>
  <si>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</si>
  <si>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</si>
  <si>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</si>
  <si>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</si>
  <si>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</si>
  <si>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</si>
  <si>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</si>
  <si>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</si>
  <si>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</si>
  <si>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</si>
  <si>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</si>
  <si>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</si>
  <si>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</si>
  <si>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</si>
  <si>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</si>
  <si>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</si>
  <si>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</si>
  <si>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</si>
  <si>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</si>
  <si>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</si>
  <si>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</si>
  <si>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</si>
  <si>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</si>
  <si>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</si>
  <si>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</si>
  <si>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</si>
  <si>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</si>
  <si>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</si>
  <si>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</si>
  <si>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</si>
  <si>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</si>
  <si>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</si>
  <si>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</si>
  <si>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</si>
  <si>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</si>
  <si>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</si>
  <si>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</si>
  <si>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</si>
  <si>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</si>
  <si>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</si>
  <si>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</si>
  <si>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</si>
  <si>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</si>
  <si>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</si>
  <si>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</si>
  <si>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</si>
  <si>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</si>
  <si>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</si>
  <si>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</si>
  <si>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</si>
  <si>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</si>
  <si>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</si>
  <si>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</si>
  <si>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</si>
  <si>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</si>
  <si>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</si>
  <si>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</si>
  <si>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</si>
  <si>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</si>
  <si>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</si>
  <si>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</si>
  <si>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</si>
  <si>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</si>
  <si>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</si>
  <si>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</si>
  <si>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</si>
  <si>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</si>
  <si>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</si>
  <si>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</si>
  <si>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</si>
  <si>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</si>
  <si>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</si>
  <si>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</si>
  <si>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</si>
  <si>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</si>
  <si>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</si>
  <si>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</si>
  <si>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</si>
  <si>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</si>
  <si>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</si>
  <si>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</si>
  <si>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</si>
  <si>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</si>
  <si>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</si>
  <si>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</si>
  <si>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</si>
  <si>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</si>
  <si>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</si>
  <si>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</si>
  <si>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</si>
  <si>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</si>
  <si>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</si>
  <si>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</si>
  <si>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</si>
  <si>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</si>
  <si>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</si>
  <si>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</si>
  <si>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</si>
  <si>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</si>
  <si>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</si>
  <si>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</si>
  <si>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</si>
  <si>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</si>
  <si>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</si>
  <si>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</si>
  <si>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</si>
  <si>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</si>
  <si>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</si>
  <si>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</si>
  <si>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</si>
  <si>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</si>
  <si>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</si>
  <si>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</si>
  <si>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</si>
  <si>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</si>
  <si>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</si>
  <si>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</si>
  <si>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</si>
  <si>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</si>
  <si>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</si>
  <si>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</si>
  <si>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</si>
  <si>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</si>
  <si>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</si>
  <si>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</si>
  <si>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</si>
  <si>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</si>
  <si>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</si>
  <si>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</si>
  <si>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</si>
  <si>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</si>
  <si>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</si>
  <si>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</si>
  <si>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</si>
  <si>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</si>
  <si>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</si>
  <si>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</si>
  <si>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</si>
  <si>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</si>
  <si>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</si>
  <si>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</si>
  <si>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</si>
  <si>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</si>
  <si>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</si>
  <si>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</si>
  <si>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</si>
  <si>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</si>
  <si>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</si>
  <si>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</si>
  <si>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</si>
  <si>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</si>
  <si>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</si>
  <si>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</si>
  <si>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</si>
  <si>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</si>
  <si>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</si>
  <si>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</si>
  <si>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</si>
  <si>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</si>
  <si>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</si>
  <si>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</si>
  <si>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</si>
  <si>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</si>
  <si>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</si>
  <si>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</si>
  <si>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</si>
  <si>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</si>
  <si>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</si>
  <si>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</si>
  <si>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</si>
  <si>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</si>
  <si>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</si>
  <si>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</si>
  <si>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</si>
  <si>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</si>
  <si>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</si>
  <si>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</si>
  <si>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</si>
  <si>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</si>
  <si>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</si>
  <si>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</si>
  <si>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</si>
  <si>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</si>
  <si>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</si>
  <si>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</si>
  <si>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</si>
  <si>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</si>
  <si>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</si>
  <si>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</si>
  <si>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</si>
  <si>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</si>
  <si>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</si>
  <si>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</si>
  <si>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</si>
  <si>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</si>
  <si>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</si>
  <si>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</si>
  <si>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</si>
  <si>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</si>
  <si>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</si>
  <si>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</si>
  <si>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</si>
  <si>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</si>
  <si>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</si>
  <si>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</si>
  <si>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</si>
  <si>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</si>
  <si>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</si>
  <si>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</si>
  <si>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</si>
  <si>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</si>
  <si>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</si>
  <si>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</si>
  <si>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</si>
  <si>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</si>
  <si>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</si>
  <si>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</si>
  <si>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</si>
  <si>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</si>
  <si>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</si>
  <si>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</si>
  <si>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</si>
  <si>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</si>
  <si>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</si>
  <si>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</si>
  <si>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</si>
  <si>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</si>
  <si>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</si>
  <si>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</si>
  <si>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</si>
  <si>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</si>
  <si>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</si>
  <si>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</si>
  <si>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</si>
  <si>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</si>
  <si>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</si>
  <si>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</si>
  <si>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</si>
  <si>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</si>
  <si>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</si>
  <si>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</si>
  <si>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</si>
  <si>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</si>
  <si>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</si>
  <si>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</si>
  <si>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</si>
  <si>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</si>
  <si>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</si>
  <si>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</si>
  <si>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</si>
  <si>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</si>
  <si>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</si>
  <si>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</si>
  <si>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</si>
  <si>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</si>
  <si>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</si>
  <si>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</si>
  <si>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</si>
  <si>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</si>
  <si>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</si>
  <si>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</si>
  <si>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</si>
  <si>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</si>
  <si>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</si>
  <si>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</si>
  <si>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</si>
  <si>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</si>
  <si>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</si>
  <si>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</si>
  <si>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</si>
  <si>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</si>
  <si>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</si>
  <si>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</si>
  <si>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</si>
  <si>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</si>
  <si>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</si>
  <si>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</si>
  <si>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</si>
  <si>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</si>
  <si>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</si>
  <si>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</si>
  <si>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</si>
  <si>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</si>
  <si>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</si>
  <si>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</si>
  <si>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</si>
  <si>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</si>
  <si>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</si>
  <si>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</si>
  <si>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</si>
  <si>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</si>
  <si>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</si>
  <si>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</si>
  <si>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</si>
  <si>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</si>
  <si>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</si>
  <si>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</si>
  <si>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</si>
  <si>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</si>
  <si>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</si>
  <si>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</si>
  <si>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</si>
  <si>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</si>
  <si>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</si>
  <si>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</si>
  <si>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</si>
  <si>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</si>
  <si>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</si>
  <si>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</si>
  <si>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</si>
  <si>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</si>
  <si>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</si>
  <si>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</si>
  <si>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</si>
  <si>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</si>
  <si>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</si>
  <si>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</si>
  <si>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</si>
  <si>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</si>
  <si>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</si>
  <si>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</si>
  <si>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</si>
  <si>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</si>
  <si>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</si>
  <si>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</si>
  <si>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</si>
  <si>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</si>
  <si>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</si>
  <si>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</si>
  <si>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</si>
  <si>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</si>
  <si>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</si>
  <si>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</si>
  <si>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</si>
  <si>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</si>
  <si>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</si>
  <si>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</si>
  <si>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</si>
  <si>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</si>
  <si>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</si>
  <si>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</si>
  <si>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</si>
  <si>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</si>
  <si>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</si>
  <si>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</si>
  <si>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</si>
  <si>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</si>
  <si>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</si>
  <si>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</si>
  <si>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</si>
  <si>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</si>
  <si>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</si>
  <si>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</si>
  <si>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</si>
  <si>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</si>
  <si>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</si>
  <si>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</si>
  <si>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</si>
  <si>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</si>
  <si>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</si>
  <si>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</si>
  <si>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</si>
  <si>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</si>
  <si>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</si>
  <si>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</si>
  <si>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</si>
  <si>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</si>
  <si>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</si>
  <si>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</si>
  <si>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</si>
  <si>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</si>
  <si>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</si>
  <si>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</si>
  <si>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</si>
  <si>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</si>
  <si>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</si>
  <si>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</si>
  <si>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</si>
  <si>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</si>
  <si>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</si>
  <si>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</si>
  <si>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</si>
  <si>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</si>
  <si>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</si>
  <si>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</si>
  <si>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</si>
  <si>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</si>
  <si>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</si>
  <si>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</si>
  <si>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</si>
  <si>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</si>
  <si>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</si>
  <si>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</si>
  <si>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</si>
  <si>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</si>
  <si>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</si>
  <si>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</si>
  <si>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</si>
  <si>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</si>
  <si>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</si>
  <si>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</si>
  <si>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</si>
  <si>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</si>
  <si>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</si>
  <si>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</si>
  <si>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</si>
  <si>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</si>
  <si>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</si>
  <si>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</si>
  <si>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</si>
  <si>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</si>
  <si>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</si>
  <si>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</si>
  <si>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</si>
  <si>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</si>
  <si>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</si>
  <si>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</si>
  <si>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</si>
  <si>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</si>
  <si>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</si>
  <si>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</si>
  <si>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</si>
  <si>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MIDDLETON</t>
  </si>
  <si>
    <t>Mediation settlement between Farmington and Middleton</t>
  </si>
  <si>
    <t>Auditors entry  (MH&amp;Co)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</si>
</sst>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0" zoomScaleNormal="12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353</v>
      </c>
      <c r="C2" s="21">
        <v>353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974252.65</v>
      </c>
      <c r="G9" s="18"/>
      <c r="H9" s="18"/>
      <c r="I9" s="18">
        <f>5497110.52+25</f>
        <v>5497135.5199999996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521</v>
      </c>
      <c r="G12" s="18"/>
      <c r="H12" s="18"/>
      <c r="I12" s="18">
        <v>-521</v>
      </c>
      <c r="J12" s="67">
        <f>SUM(I441)</f>
        <v>123364.58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400000</v>
      </c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1582.22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1376355.8699999999</v>
      </c>
      <c r="G19" s="41">
        <f>SUM(G9:G18)</f>
        <v>0</v>
      </c>
      <c r="H19" s="41">
        <f>SUM(H9:H18)</f>
        <v>0</v>
      </c>
      <c r="I19" s="41">
        <f>SUM(I9:I18)</f>
        <v>5496614.5199999996</v>
      </c>
      <c r="J19" s="41">
        <f>SUM(J9:J18)</f>
        <v>123364.58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450000</v>
      </c>
      <c r="G23" s="18"/>
      <c r="H23" s="18"/>
      <c r="I23" s="18">
        <v>25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86222.29</v>
      </c>
      <c r="G24" s="18"/>
      <c r="H24" s="18"/>
      <c r="I24" s="18">
        <v>77604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536222.29</v>
      </c>
      <c r="G32" s="41">
        <f>SUM(G22:G31)</f>
        <v>0</v>
      </c>
      <c r="H32" s="41">
        <f>SUM(H22:H31)</f>
        <v>0</v>
      </c>
      <c r="I32" s="41">
        <f>SUM(I22:I31)</f>
        <v>77629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25041.14</v>
      </c>
      <c r="G45" s="18"/>
      <c r="H45" s="18"/>
      <c r="I45" s="18">
        <v>5418985.5199999996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45770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123364.58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694322.44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840133.58</v>
      </c>
      <c r="G51" s="41">
        <f>SUM(G35:G50)</f>
        <v>0</v>
      </c>
      <c r="H51" s="41">
        <f>SUM(H35:H50)</f>
        <v>0</v>
      </c>
      <c r="I51" s="41">
        <f>SUM(I35:I50)</f>
        <v>5418985.5199999996</v>
      </c>
      <c r="J51" s="41">
        <f>SUM(J35:J50)</f>
        <v>123364.58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1376355.87</v>
      </c>
      <c r="G52" s="41">
        <f>G51+G32</f>
        <v>0</v>
      </c>
      <c r="H52" s="41">
        <f>H51+H32</f>
        <v>0</v>
      </c>
      <c r="I52" s="41">
        <f>I51+I32</f>
        <v>5496614.5199999996</v>
      </c>
      <c r="J52" s="41">
        <f>J51+J32</f>
        <v>123364.58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1830933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93.98</v>
      </c>
      <c r="G59" s="18"/>
      <c r="H59" s="18"/>
      <c r="I59" s="18">
        <v>139.41</v>
      </c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1831026.98</v>
      </c>
      <c r="G60" s="41">
        <f>SUM(G57:G59)</f>
        <v>0</v>
      </c>
      <c r="H60" s="41">
        <f>SUM(H57:H59)</f>
        <v>0</v>
      </c>
      <c r="I60" s="41">
        <f>SUM(I57:I59)</f>
        <v>139.41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8630.99</v>
      </c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8630.99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10340.25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1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10341.25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1849999.22</v>
      </c>
      <c r="G112" s="41">
        <f>G60+G111</f>
        <v>0</v>
      </c>
      <c r="H112" s="41">
        <f>H60+H79+H94+H111</f>
        <v>0</v>
      </c>
      <c r="I112" s="41">
        <f>I60+I111</f>
        <v>139.41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1338522.8500000001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365091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1703613.85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1703613.85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53794.25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53794.25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53794.25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6592504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>
        <v>2932.39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6595436.3899999997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6595436.3899999997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3607407.3200000003</v>
      </c>
      <c r="G193" s="47">
        <f>G112+G140+G169+G192</f>
        <v>0</v>
      </c>
      <c r="H193" s="47">
        <f>H112+H140+H169+H192</f>
        <v>0</v>
      </c>
      <c r="I193" s="47">
        <f>I112+I140+I169+I192</f>
        <v>6595575.7999999998</v>
      </c>
      <c r="J193" s="47">
        <f>J112+J140+J192</f>
        <v>50000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1605215.07</v>
      </c>
      <c r="I197" s="18"/>
      <c r="J197" s="18"/>
      <c r="K197" s="18"/>
      <c r="L197" s="19">
        <f>SUM(F197:K197)</f>
        <v>1605215.07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40.619999999999997</v>
      </c>
      <c r="G198" s="18">
        <v>3.25</v>
      </c>
      <c r="H198" s="18">
        <v>85691.99</v>
      </c>
      <c r="I198" s="18"/>
      <c r="J198" s="18"/>
      <c r="K198" s="18">
        <v>1920.94</v>
      </c>
      <c r="L198" s="19">
        <f>SUM(F198:K198)</f>
        <v>87656.8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6900.66</v>
      </c>
      <c r="G204" s="18"/>
      <c r="H204" s="18">
        <f>77701.34+81283.46</f>
        <v>158984.79999999999</v>
      </c>
      <c r="I204" s="18">
        <v>237.25</v>
      </c>
      <c r="J204" s="18"/>
      <c r="K204" s="18">
        <v>1971.82</v>
      </c>
      <c r="L204" s="19">
        <f t="shared" si="0"/>
        <v>168094.53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f>94.54+134.61</f>
        <v>229.15000000000003</v>
      </c>
      <c r="I206" s="18"/>
      <c r="J206" s="18"/>
      <c r="K206" s="18"/>
      <c r="L206" s="19">
        <f t="shared" si="0"/>
        <v>229.15000000000003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421.77</v>
      </c>
      <c r="G207" s="18">
        <v>32.270000000000003</v>
      </c>
      <c r="H207" s="18">
        <v>5795.32</v>
      </c>
      <c r="I207" s="18">
        <v>272.64999999999998</v>
      </c>
      <c r="J207" s="18"/>
      <c r="K207" s="18"/>
      <c r="L207" s="19">
        <f t="shared" si="0"/>
        <v>6522.0099999999993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39991.129999999997</v>
      </c>
      <c r="G208" s="18">
        <v>5446.59</v>
      </c>
      <c r="H208" s="18">
        <v>62341.69</v>
      </c>
      <c r="I208" s="18">
        <v>10402.799999999999</v>
      </c>
      <c r="J208" s="18">
        <v>15099.96</v>
      </c>
      <c r="K208" s="18">
        <v>262.68</v>
      </c>
      <c r="L208" s="19">
        <f t="shared" si="0"/>
        <v>133544.85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47354.179999999993</v>
      </c>
      <c r="G211" s="41">
        <f t="shared" si="1"/>
        <v>5482.1100000000006</v>
      </c>
      <c r="H211" s="41">
        <f t="shared" si="1"/>
        <v>1918258.02</v>
      </c>
      <c r="I211" s="41">
        <f t="shared" si="1"/>
        <v>10912.699999999999</v>
      </c>
      <c r="J211" s="41">
        <f t="shared" si="1"/>
        <v>15099.96</v>
      </c>
      <c r="K211" s="41">
        <f t="shared" si="1"/>
        <v>4155.4400000000005</v>
      </c>
      <c r="L211" s="41">
        <f t="shared" si="1"/>
        <v>2001262.4100000001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933871.75</v>
      </c>
      <c r="I233" s="18"/>
      <c r="J233" s="18"/>
      <c r="K233" s="18"/>
      <c r="L233" s="19">
        <f>SUM(F233:K233)</f>
        <v>933871.75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19.38</v>
      </c>
      <c r="G234" s="18">
        <v>1.55</v>
      </c>
      <c r="H234" s="18">
        <v>40884.07</v>
      </c>
      <c r="I234" s="18"/>
      <c r="J234" s="18"/>
      <c r="K234" s="18">
        <v>916.49</v>
      </c>
      <c r="L234" s="19">
        <f>SUM(F234:K234)</f>
        <v>41821.49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3292.34</v>
      </c>
      <c r="G240" s="18"/>
      <c r="H240" s="18">
        <f>37071.69+38780.74</f>
        <v>75852.429999999993</v>
      </c>
      <c r="I240" s="18">
        <v>113.19</v>
      </c>
      <c r="J240" s="18"/>
      <c r="K240" s="18">
        <v>940.76</v>
      </c>
      <c r="L240" s="19">
        <f t="shared" si="4"/>
        <v>80198.719999999987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>
        <f>45.11+64.23</f>
        <v>109.34</v>
      </c>
      <c r="I242" s="18"/>
      <c r="J242" s="18"/>
      <c r="K242" s="18"/>
      <c r="L242" s="19">
        <f t="shared" si="4"/>
        <v>109.34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201.23</v>
      </c>
      <c r="G243" s="18">
        <v>15.39</v>
      </c>
      <c r="H243" s="18">
        <v>2764.98</v>
      </c>
      <c r="I243" s="18">
        <v>130.08000000000001</v>
      </c>
      <c r="J243" s="18"/>
      <c r="K243" s="18"/>
      <c r="L243" s="19">
        <f t="shared" si="4"/>
        <v>3111.68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19079.97</v>
      </c>
      <c r="G244" s="18">
        <v>2598.6</v>
      </c>
      <c r="H244" s="18">
        <v>29743.52</v>
      </c>
      <c r="I244" s="18">
        <v>4963.2299999999996</v>
      </c>
      <c r="J244" s="18">
        <v>7204.27</v>
      </c>
      <c r="K244" s="18">
        <v>125.3</v>
      </c>
      <c r="L244" s="19">
        <f t="shared" si="4"/>
        <v>63714.89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22592.920000000002</v>
      </c>
      <c r="G247" s="41">
        <f t="shared" si="5"/>
        <v>2615.54</v>
      </c>
      <c r="H247" s="41">
        <f t="shared" si="5"/>
        <v>1083226.0900000001</v>
      </c>
      <c r="I247" s="41">
        <f t="shared" si="5"/>
        <v>5206.5</v>
      </c>
      <c r="J247" s="41">
        <f t="shared" si="5"/>
        <v>7204.27</v>
      </c>
      <c r="K247" s="41">
        <f t="shared" si="5"/>
        <v>1982.55</v>
      </c>
      <c r="L247" s="41">
        <f t="shared" si="5"/>
        <v>1122827.8699999999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69947.099999999991</v>
      </c>
      <c r="G257" s="41">
        <f t="shared" si="8"/>
        <v>8097.6500000000005</v>
      </c>
      <c r="H257" s="41">
        <f t="shared" si="8"/>
        <v>3001484.1100000003</v>
      </c>
      <c r="I257" s="41">
        <f t="shared" si="8"/>
        <v>16119.199999999999</v>
      </c>
      <c r="J257" s="41">
        <f t="shared" si="8"/>
        <v>22304.23</v>
      </c>
      <c r="K257" s="41">
        <f t="shared" si="8"/>
        <v>6137.9900000000007</v>
      </c>
      <c r="L257" s="41">
        <f t="shared" si="8"/>
        <v>3124090.2800000003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157105</v>
      </c>
      <c r="L261" s="19">
        <f>SUM(F261:K261)</f>
        <v>157105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207105</v>
      </c>
      <c r="L270" s="41">
        <f t="shared" si="9"/>
        <v>207105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69947.099999999991</v>
      </c>
      <c r="G271" s="42">
        <f t="shared" si="11"/>
        <v>8097.6500000000005</v>
      </c>
      <c r="H271" s="42">
        <f t="shared" si="11"/>
        <v>3001484.1100000003</v>
      </c>
      <c r="I271" s="42">
        <f t="shared" si="11"/>
        <v>16119.199999999999</v>
      </c>
      <c r="J271" s="42">
        <f t="shared" si="11"/>
        <v>22304.23</v>
      </c>
      <c r="K271" s="42">
        <f t="shared" si="11"/>
        <v>213242.99</v>
      </c>
      <c r="L271" s="42">
        <f t="shared" si="11"/>
        <v>3331195.2800000003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f>378840+11885+4041.28+5786</f>
        <v>400552.28</v>
      </c>
      <c r="I376" s="18"/>
      <c r="J376" s="18"/>
      <c r="K376" s="18"/>
      <c r="L376" s="13">
        <f t="shared" si="23"/>
        <v>400552.28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776038</v>
      </c>
      <c r="I378" s="18"/>
      <c r="J378" s="18"/>
      <c r="K378" s="18"/>
      <c r="L378" s="13">
        <f t="shared" si="23"/>
        <v>776038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1176590.28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1176590.28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10000</v>
      </c>
      <c r="H390" s="18"/>
      <c r="I390" s="18"/>
      <c r="J390" s="24" t="s">
        <v>289</v>
      </c>
      <c r="K390" s="24" t="s">
        <v>289</v>
      </c>
      <c r="L390" s="56">
        <f t="shared" si="25"/>
        <v>10000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10000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10000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40000</v>
      </c>
      <c r="H397" s="18"/>
      <c r="I397" s="18"/>
      <c r="J397" s="24" t="s">
        <v>289</v>
      </c>
      <c r="K397" s="24" t="s">
        <v>289</v>
      </c>
      <c r="L397" s="56">
        <f t="shared" si="26"/>
        <v>40000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40000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40000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>
        <v>123364.58</v>
      </c>
      <c r="I441" s="56">
        <f t="shared" si="33"/>
        <v>123364.58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123364.58</v>
      </c>
      <c r="I446" s="13">
        <f>SUM(I439:I445)</f>
        <v>123364.58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>
        <v>123364.58</v>
      </c>
      <c r="I459" s="56">
        <f t="shared" si="34"/>
        <v>123364.58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123364.58</v>
      </c>
      <c r="I460" s="83">
        <f>SUM(I454:I459)</f>
        <v>123364.58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123364.58</v>
      </c>
      <c r="I461" s="42">
        <f>I452+I460</f>
        <v>123364.58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163921.54</v>
      </c>
      <c r="G465" s="18"/>
      <c r="H465" s="18"/>
      <c r="I465" s="18"/>
      <c r="J465" s="18">
        <v>73364.58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3607407.32</v>
      </c>
      <c r="G468" s="18"/>
      <c r="H468" s="18"/>
      <c r="I468" s="18">
        <v>6595575.7999999998</v>
      </c>
      <c r="J468" s="18">
        <v>50000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400000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4007407.32</v>
      </c>
      <c r="G470" s="53">
        <f>SUM(G468:G469)</f>
        <v>0</v>
      </c>
      <c r="H470" s="53">
        <f>SUM(H468:H469)</f>
        <v>0</v>
      </c>
      <c r="I470" s="53">
        <f>SUM(I468:I469)</f>
        <v>6595575.7999999998</v>
      </c>
      <c r="J470" s="53">
        <f>SUM(J468:J469)</f>
        <v>50000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3331195.28</v>
      </c>
      <c r="G472" s="18"/>
      <c r="H472" s="18"/>
      <c r="I472" s="18">
        <v>1176590.28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3331195.28</v>
      </c>
      <c r="G474" s="53">
        <f>SUM(G472:G473)</f>
        <v>0</v>
      </c>
      <c r="H474" s="53">
        <f>SUM(H472:H473)</f>
        <v>0</v>
      </c>
      <c r="I474" s="53">
        <f>SUM(I472:I473)</f>
        <v>1176590.28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840133.58000000007</v>
      </c>
      <c r="G476" s="53">
        <f>(G465+G470)- G474</f>
        <v>0</v>
      </c>
      <c r="H476" s="53">
        <f>(H465+H470)- H474</f>
        <v>0</v>
      </c>
      <c r="I476" s="53">
        <f>(I465+I470)- I474</f>
        <v>5418985.5199999996</v>
      </c>
      <c r="J476" s="53">
        <f>(J465+J470)- J474</f>
        <v>123364.58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912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 t="s">
        <v>913</v>
      </c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60</v>
      </c>
      <c r="G521" s="18">
        <v>4.8</v>
      </c>
      <c r="H521" s="18">
        <v>85691.99</v>
      </c>
      <c r="I521" s="18"/>
      <c r="J521" s="18"/>
      <c r="K521" s="18">
        <v>1920.94</v>
      </c>
      <c r="L521" s="88">
        <f>SUM(F521:K521)</f>
        <v>87677.73000000001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40884.07</v>
      </c>
      <c r="I523" s="18"/>
      <c r="J523" s="18"/>
      <c r="K523" s="18">
        <v>916.49</v>
      </c>
      <c r="L523" s="88">
        <f>SUM(F523:K523)</f>
        <v>41800.559999999998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60</v>
      </c>
      <c r="G524" s="108">
        <f t="shared" ref="G524:L524" si="36">SUM(G521:G523)</f>
        <v>4.8</v>
      </c>
      <c r="H524" s="108">
        <f t="shared" si="36"/>
        <v>126576.06</v>
      </c>
      <c r="I524" s="108">
        <f t="shared" si="36"/>
        <v>0</v>
      </c>
      <c r="J524" s="108">
        <f t="shared" si="36"/>
        <v>0</v>
      </c>
      <c r="K524" s="108">
        <f t="shared" si="36"/>
        <v>2837.4300000000003</v>
      </c>
      <c r="L524" s="89">
        <f t="shared" si="36"/>
        <v>129478.29000000001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359407.87</v>
      </c>
      <c r="G526" s="18">
        <v>160453.76000000001</v>
      </c>
      <c r="H526" s="18">
        <v>106132.01</v>
      </c>
      <c r="I526" s="18">
        <v>7595.4</v>
      </c>
      <c r="J526" s="18"/>
      <c r="K526" s="18">
        <v>193.8</v>
      </c>
      <c r="L526" s="88">
        <f>SUM(F526:K526)</f>
        <v>633782.84000000008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169133.12</v>
      </c>
      <c r="G528" s="18">
        <v>75507.649999999994</v>
      </c>
      <c r="H528" s="18">
        <v>49944.47</v>
      </c>
      <c r="I528" s="18">
        <v>3574.3</v>
      </c>
      <c r="J528" s="18"/>
      <c r="K528" s="18">
        <v>91.2</v>
      </c>
      <c r="L528" s="88">
        <f>SUM(F528:K528)</f>
        <v>298250.74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528540.99</v>
      </c>
      <c r="G529" s="89">
        <f t="shared" ref="G529:L529" si="37">SUM(G526:G528)</f>
        <v>235961.41</v>
      </c>
      <c r="H529" s="89">
        <f t="shared" si="37"/>
        <v>156076.47999999998</v>
      </c>
      <c r="I529" s="89">
        <f t="shared" si="37"/>
        <v>11169.7</v>
      </c>
      <c r="J529" s="89">
        <f t="shared" si="37"/>
        <v>0</v>
      </c>
      <c r="K529" s="89">
        <f t="shared" si="37"/>
        <v>285</v>
      </c>
      <c r="L529" s="89">
        <f t="shared" si="37"/>
        <v>932033.58000000007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81820.899999999994</v>
      </c>
      <c r="G531" s="18">
        <v>31334.15</v>
      </c>
      <c r="H531" s="18"/>
      <c r="I531" s="18"/>
      <c r="J531" s="18"/>
      <c r="K531" s="18"/>
      <c r="L531" s="88">
        <f>SUM(F531:K531)</f>
        <v>113155.04999999999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38503.949999999997</v>
      </c>
      <c r="G533" s="18">
        <v>14745.48</v>
      </c>
      <c r="H533" s="18"/>
      <c r="I533" s="18"/>
      <c r="J533" s="18"/>
      <c r="K533" s="18"/>
      <c r="L533" s="88">
        <f>SUM(F533:K533)</f>
        <v>53249.429999999993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120324.84999999999</v>
      </c>
      <c r="G534" s="89">
        <f t="shared" ref="G534:L534" si="38">SUM(G531:G533)</f>
        <v>46079.630000000005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166404.47999999998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6317.54</v>
      </c>
      <c r="I536" s="18"/>
      <c r="J536" s="18"/>
      <c r="K536" s="18"/>
      <c r="L536" s="88">
        <f>SUM(F536:K536)</f>
        <v>6317.54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3014.14</v>
      </c>
      <c r="I538" s="18"/>
      <c r="J538" s="18"/>
      <c r="K538" s="18"/>
      <c r="L538" s="88">
        <f>SUM(F538:K538)</f>
        <v>3014.14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9331.68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9331.68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3495.69</v>
      </c>
      <c r="G541" s="18">
        <v>1081.21</v>
      </c>
      <c r="H541" s="18">
        <v>14911.94</v>
      </c>
      <c r="I541" s="18"/>
      <c r="J541" s="18"/>
      <c r="K541" s="18"/>
      <c r="L541" s="88">
        <f>SUM(F541:K541)</f>
        <v>19488.84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1667.81</v>
      </c>
      <c r="G543" s="18">
        <v>515.85</v>
      </c>
      <c r="H543" s="18">
        <v>7114.56</v>
      </c>
      <c r="I543" s="18"/>
      <c r="J543" s="18"/>
      <c r="K543" s="18"/>
      <c r="L543" s="88">
        <f>SUM(F543:K543)</f>
        <v>9298.2200000000012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5163.5</v>
      </c>
      <c r="G544" s="193">
        <f t="shared" ref="G544:L544" si="40">SUM(G541:G543)</f>
        <v>1597.06</v>
      </c>
      <c r="H544" s="193">
        <f t="shared" si="40"/>
        <v>22026.5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28787.06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654089.34</v>
      </c>
      <c r="G545" s="89">
        <f t="shared" ref="G545:L545" si="41">G524+G529+G534+G539+G544</f>
        <v>283642.89999999997</v>
      </c>
      <c r="H545" s="89">
        <f t="shared" si="41"/>
        <v>314010.71999999997</v>
      </c>
      <c r="I545" s="89">
        <f t="shared" si="41"/>
        <v>11169.7</v>
      </c>
      <c r="J545" s="89">
        <f t="shared" si="41"/>
        <v>0</v>
      </c>
      <c r="K545" s="89">
        <f t="shared" si="41"/>
        <v>3122.4300000000003</v>
      </c>
      <c r="L545" s="89">
        <f t="shared" si="41"/>
        <v>1266035.0900000001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87677.73000000001</v>
      </c>
      <c r="G549" s="87">
        <f>L526</f>
        <v>633782.84000000008</v>
      </c>
      <c r="H549" s="87">
        <f>L531</f>
        <v>113155.04999999999</v>
      </c>
      <c r="I549" s="87">
        <f>L536</f>
        <v>6317.54</v>
      </c>
      <c r="J549" s="87">
        <f>L541</f>
        <v>19488.84</v>
      </c>
      <c r="K549" s="87">
        <f>SUM(F549:J549)</f>
        <v>860422.00000000012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41800.559999999998</v>
      </c>
      <c r="G551" s="87">
        <f>L528</f>
        <v>298250.74</v>
      </c>
      <c r="H551" s="87">
        <f>L533</f>
        <v>53249.429999999993</v>
      </c>
      <c r="I551" s="87">
        <f>L538</f>
        <v>3014.14</v>
      </c>
      <c r="J551" s="87">
        <f>L543</f>
        <v>9298.2200000000012</v>
      </c>
      <c r="K551" s="87">
        <f>SUM(F551:J551)</f>
        <v>405613.08999999997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129478.29000000001</v>
      </c>
      <c r="G552" s="89">
        <f t="shared" si="42"/>
        <v>932033.58000000007</v>
      </c>
      <c r="H552" s="89">
        <f t="shared" si="42"/>
        <v>166404.47999999998</v>
      </c>
      <c r="I552" s="89">
        <f t="shared" si="42"/>
        <v>9331.68</v>
      </c>
      <c r="J552" s="89">
        <f t="shared" si="42"/>
        <v>28787.06</v>
      </c>
      <c r="K552" s="89">
        <f t="shared" si="42"/>
        <v>1266035.0900000001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f>1449964.83+155250.24</f>
        <v>1605215.07</v>
      </c>
      <c r="G575" s="18"/>
      <c r="H575" s="18">
        <v>933871.75</v>
      </c>
      <c r="I575" s="87">
        <f>SUM(F575:H575)</f>
        <v>2539086.8200000003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75943.63</v>
      </c>
      <c r="G578" s="18"/>
      <c r="H578" s="18">
        <v>36233.089999999997</v>
      </c>
      <c r="I578" s="87">
        <f t="shared" si="47"/>
        <v>112176.72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114056.02</v>
      </c>
      <c r="I591" s="18"/>
      <c r="J591" s="18">
        <v>54416.68</v>
      </c>
      <c r="K591" s="104">
        <f t="shared" ref="K591:K597" si="48">SUM(H591:J591)</f>
        <v>168472.7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19488.830000000002</v>
      </c>
      <c r="I592" s="18"/>
      <c r="J592" s="18">
        <v>9298.2099999999991</v>
      </c>
      <c r="K592" s="104">
        <f t="shared" si="48"/>
        <v>28787.040000000001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133544.85</v>
      </c>
      <c r="I598" s="108">
        <f>SUM(I591:I597)</f>
        <v>0</v>
      </c>
      <c r="J598" s="108">
        <f>SUM(J591:J597)</f>
        <v>63714.89</v>
      </c>
      <c r="K598" s="108">
        <f>SUM(K591:K597)</f>
        <v>197259.74000000002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15099.96</v>
      </c>
      <c r="I604" s="18"/>
      <c r="J604" s="18">
        <v>7204.27</v>
      </c>
      <c r="K604" s="104">
        <f>SUM(H604:J604)</f>
        <v>22304.23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15099.96</v>
      </c>
      <c r="I605" s="108">
        <f>SUM(I602:I604)</f>
        <v>0</v>
      </c>
      <c r="J605" s="108">
        <f>SUM(J602:J604)</f>
        <v>7204.27</v>
      </c>
      <c r="K605" s="108">
        <f>SUM(K602:K604)</f>
        <v>22304.23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1376355.8699999999</v>
      </c>
      <c r="H617" s="109">
        <f>SUM(F52)</f>
        <v>1376355.87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5496614.5199999996</v>
      </c>
      <c r="H620" s="109">
        <f>SUM(I52)</f>
        <v>5496614.5199999996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123364.58</v>
      </c>
      <c r="H621" s="109">
        <f>SUM(J52)</f>
        <v>123364.58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840133.58</v>
      </c>
      <c r="H622" s="109">
        <f>F476</f>
        <v>840133.58000000007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5418985.5199999996</v>
      </c>
      <c r="H625" s="109">
        <f>I476</f>
        <v>5418985.5199999996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123364.58</v>
      </c>
      <c r="H626" s="109">
        <f>J476</f>
        <v>123364.58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3607407.3200000003</v>
      </c>
      <c r="H627" s="104">
        <f>SUM(F468)</f>
        <v>3607407.32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6595575.7999999998</v>
      </c>
      <c r="H630" s="104">
        <f>SUM(I468)</f>
        <v>6595575.7999999998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50000</v>
      </c>
      <c r="H631" s="104">
        <f>SUM(J468)</f>
        <v>50000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3331195.2800000003</v>
      </c>
      <c r="H632" s="104">
        <f>SUM(F472)</f>
        <v>3331195.28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1176590.28</v>
      </c>
      <c r="H636" s="104">
        <f>SUM(I472)</f>
        <v>1176590.28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50000</v>
      </c>
      <c r="H637" s="164">
        <f>SUM(J468)</f>
        <v>50000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123364.58</v>
      </c>
      <c r="H641" s="104">
        <f>SUM(H461)</f>
        <v>123364.58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123364.58</v>
      </c>
      <c r="H642" s="104">
        <f>SUM(I461)</f>
        <v>123364.58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50000</v>
      </c>
      <c r="H646" s="104">
        <f>L408</f>
        <v>50000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197259.74000000002</v>
      </c>
      <c r="H647" s="104">
        <f>L208+L226+L244</f>
        <v>197259.74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22304.23</v>
      </c>
      <c r="H648" s="104">
        <f>(J257+J338)-(J255+J336)</f>
        <v>22304.23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133544.85</v>
      </c>
      <c r="H649" s="104">
        <f>H598</f>
        <v>133544.85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63714.89</v>
      </c>
      <c r="H651" s="104">
        <f>J598</f>
        <v>63714.89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2001262.4100000001</v>
      </c>
      <c r="G660" s="19">
        <f>(L229+L309+L359)</f>
        <v>0</v>
      </c>
      <c r="H660" s="19">
        <f>(L247+L328+L360)</f>
        <v>1122827.8699999999</v>
      </c>
      <c r="I660" s="19">
        <f>SUM(F660:H660)</f>
        <v>3124090.2800000003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118444.89000000001</v>
      </c>
      <c r="G662" s="19">
        <f>(L226+L306)-(J226+J306)</f>
        <v>0</v>
      </c>
      <c r="H662" s="19">
        <f>(L244+L325)-(J244+J325)</f>
        <v>56510.619999999995</v>
      </c>
      <c r="I662" s="19">
        <f>SUM(F662:H662)</f>
        <v>174955.51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1696258.6600000001</v>
      </c>
      <c r="G663" s="199">
        <f>SUM(G575:G587)+SUM(I602:I604)+L612</f>
        <v>0</v>
      </c>
      <c r="H663" s="199">
        <f>SUM(H575:H587)+SUM(J602:J604)+L613</f>
        <v>977309.11</v>
      </c>
      <c r="I663" s="19">
        <f>SUM(F663:H663)</f>
        <v>2673567.77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186558.85999999987</v>
      </c>
      <c r="G664" s="19">
        <f>G660-SUM(G661:G663)</f>
        <v>0</v>
      </c>
      <c r="H664" s="19">
        <f>H660-SUM(H661:H663)</f>
        <v>89008.139999999898</v>
      </c>
      <c r="I664" s="19">
        <f>I660-SUM(I661:I663)</f>
        <v>275567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-186558.86</v>
      </c>
      <c r="G669" s="18"/>
      <c r="H669" s="18">
        <v>-89008.14</v>
      </c>
      <c r="I669" s="19">
        <f>SUM(F669:H669)</f>
        <v>-275567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9" workbookViewId="0">
      <selection activeCell="E62" sqref="E6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MIDDLETON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60</v>
      </c>
      <c r="C18" s="229">
        <f>'DOE25'!G198+'DOE25'!G216+'DOE25'!G234+'DOE25'!G277+'DOE25'!G296+'DOE25'!G315</f>
        <v>4.8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>
        <v>60</v>
      </c>
      <c r="C21" s="240">
        <v>4.8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60</v>
      </c>
      <c r="C22" s="231">
        <f>SUM(C19:C21)</f>
        <v>4.8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N13" sqref="N1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MIDDLETON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2668565.1100000003</v>
      </c>
      <c r="D5" s="20">
        <f>SUM('DOE25'!L197:L200)+SUM('DOE25'!L215:L218)+SUM('DOE25'!L233:L236)-F5-G5</f>
        <v>2665727.6800000002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2837.4300000000003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53722.60000000002</v>
      </c>
      <c r="D8" s="243"/>
      <c r="E8" s="20">
        <f>'DOE25'!L204+'DOE25'!L222+'DOE25'!L240-F8-G8-D9-D11</f>
        <v>50810.020000000019</v>
      </c>
      <c r="F8" s="255">
        <f>'DOE25'!J204+'DOE25'!J222+'DOE25'!J240</f>
        <v>0</v>
      </c>
      <c r="G8" s="53">
        <f>'DOE25'!K204+'DOE25'!K222+'DOE25'!K240</f>
        <v>2912.58</v>
      </c>
      <c r="H8" s="259"/>
    </row>
    <row r="9" spans="1:9" x14ac:dyDescent="0.2">
      <c r="A9" s="32">
        <v>2310</v>
      </c>
      <c r="B9" t="s">
        <v>818</v>
      </c>
      <c r="C9" s="245">
        <f t="shared" si="0"/>
        <v>128229.03</v>
      </c>
      <c r="D9" s="244">
        <v>128229.03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>
        <v>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66341.62</v>
      </c>
      <c r="D11" s="244">
        <v>66341.62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338.49</v>
      </c>
      <c r="D13" s="243"/>
      <c r="E13" s="20">
        <f>'DOE25'!L206+'DOE25'!L224+'DOE25'!L242-F13-G13</f>
        <v>338.49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9633.6899999999987</v>
      </c>
      <c r="D14" s="20">
        <f>'DOE25'!L207+'DOE25'!L225+'DOE25'!L243-F14-G14</f>
        <v>9633.6899999999987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197259.74</v>
      </c>
      <c r="D15" s="20">
        <f>'DOE25'!L208+'DOE25'!L226+'DOE25'!L244-F15-G15</f>
        <v>174567.52999999997</v>
      </c>
      <c r="E15" s="243"/>
      <c r="F15" s="255">
        <f>'DOE25'!J208+'DOE25'!J226+'DOE25'!J244</f>
        <v>22304.23</v>
      </c>
      <c r="G15" s="53">
        <f>'DOE25'!K208+'DOE25'!K226+'DOE25'!K244</f>
        <v>387.98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157105</v>
      </c>
      <c r="D25" s="243"/>
      <c r="E25" s="243"/>
      <c r="F25" s="258"/>
      <c r="G25" s="256"/>
      <c r="H25" s="257">
        <f>'DOE25'!L260+'DOE25'!L261+'DOE25'!L341+'DOE25'!L342</f>
        <v>157105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3044499.55</v>
      </c>
      <c r="E33" s="246">
        <f>SUM(E5:E31)</f>
        <v>51148.510000000017</v>
      </c>
      <c r="F33" s="246">
        <f>SUM(F5:F31)</f>
        <v>22304.23</v>
      </c>
      <c r="G33" s="246">
        <f>SUM(G5:G31)</f>
        <v>6137.99</v>
      </c>
      <c r="H33" s="246">
        <f>SUM(H5:H31)</f>
        <v>157105</v>
      </c>
    </row>
    <row r="35" spans="2:8" ht="12" thickBot="1" x14ac:dyDescent="0.25">
      <c r="B35" s="253" t="s">
        <v>847</v>
      </c>
      <c r="D35" s="254">
        <f>E33</f>
        <v>51148.510000000017</v>
      </c>
      <c r="E35" s="249"/>
    </row>
    <row r="36" spans="2:8" ht="12" thickTop="1" x14ac:dyDescent="0.2">
      <c r="B36" t="s">
        <v>815</v>
      </c>
      <c r="D36" s="20">
        <f>D33</f>
        <v>3044499.55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60" activePane="bottomLeft" state="frozen"/>
      <selection activeCell="F46" sqref="F46"/>
      <selection pane="bottomLeft" activeCell="G96" sqref="G9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MIDDLETON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974252.65</v>
      </c>
      <c r="D8" s="95">
        <f>'DOE25'!G9</f>
        <v>0</v>
      </c>
      <c r="E8" s="95">
        <f>'DOE25'!H9</f>
        <v>0</v>
      </c>
      <c r="F8" s="95">
        <f>'DOE25'!I9</f>
        <v>5497135.5199999996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521</v>
      </c>
      <c r="D11" s="95">
        <f>'DOE25'!G12</f>
        <v>0</v>
      </c>
      <c r="E11" s="95">
        <f>'DOE25'!H12</f>
        <v>0</v>
      </c>
      <c r="F11" s="95">
        <f>'DOE25'!I12</f>
        <v>-521</v>
      </c>
      <c r="G11" s="95">
        <f>'DOE25'!J12</f>
        <v>123364.58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400000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1582.22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1376355.8699999999</v>
      </c>
      <c r="D18" s="41">
        <f>SUM(D8:D17)</f>
        <v>0</v>
      </c>
      <c r="E18" s="41">
        <f>SUM(E8:E17)</f>
        <v>0</v>
      </c>
      <c r="F18" s="41">
        <f>SUM(F8:F17)</f>
        <v>5496614.5199999996</v>
      </c>
      <c r="G18" s="41">
        <f>SUM(G8:G17)</f>
        <v>123364.58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450000</v>
      </c>
      <c r="D22" s="95">
        <f>'DOE25'!G23</f>
        <v>0</v>
      </c>
      <c r="E22" s="95">
        <f>'DOE25'!H23</f>
        <v>0</v>
      </c>
      <c r="F22" s="95">
        <f>'DOE25'!I23</f>
        <v>25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86222.29</v>
      </c>
      <c r="D23" s="95">
        <f>'DOE25'!G24</f>
        <v>0</v>
      </c>
      <c r="E23" s="95">
        <f>'DOE25'!H24</f>
        <v>0</v>
      </c>
      <c r="F23" s="95">
        <f>'DOE25'!I24</f>
        <v>77604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536222.29</v>
      </c>
      <c r="D31" s="41">
        <f>SUM(D21:D30)</f>
        <v>0</v>
      </c>
      <c r="E31" s="41">
        <f>SUM(E21:E30)</f>
        <v>0</v>
      </c>
      <c r="F31" s="41">
        <f>SUM(F21:F30)</f>
        <v>77629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25041.14</v>
      </c>
      <c r="D44" s="95">
        <f>'DOE25'!G45</f>
        <v>0</v>
      </c>
      <c r="E44" s="95">
        <f>'DOE25'!H45</f>
        <v>0</v>
      </c>
      <c r="F44" s="95">
        <f>'DOE25'!I45</f>
        <v>5418985.5199999996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45770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123364.58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694322.44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840133.58</v>
      </c>
      <c r="D50" s="41">
        <f>SUM(D34:D49)</f>
        <v>0</v>
      </c>
      <c r="E50" s="41">
        <f>SUM(E34:E49)</f>
        <v>0</v>
      </c>
      <c r="F50" s="41">
        <f>SUM(F34:F49)</f>
        <v>5418985.5199999996</v>
      </c>
      <c r="G50" s="41">
        <f>SUM(G34:G49)</f>
        <v>123364.58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1376355.87</v>
      </c>
      <c r="D51" s="41">
        <f>D50+D31</f>
        <v>0</v>
      </c>
      <c r="E51" s="41">
        <f>E50+E31</f>
        <v>0</v>
      </c>
      <c r="F51" s="41">
        <f>F50+F31</f>
        <v>5496614.5199999996</v>
      </c>
      <c r="G51" s="41">
        <f>G50+G31</f>
        <v>123364.58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1831026.98</v>
      </c>
      <c r="D56" s="95">
        <f>'DOE25'!G60</f>
        <v>0</v>
      </c>
      <c r="E56" s="95">
        <f>'DOE25'!H60</f>
        <v>0</v>
      </c>
      <c r="F56" s="95">
        <f>'DOE25'!I60</f>
        <v>139.41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8630.99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10340.25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18972.239999999998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1849999.22</v>
      </c>
      <c r="D63" s="22">
        <f>D56+D62</f>
        <v>0</v>
      </c>
      <c r="E63" s="22">
        <f>E56+E62</f>
        <v>0</v>
      </c>
      <c r="F63" s="22">
        <f>F56+F62</f>
        <v>139.41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1338522.8500000001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365091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1703613.85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1703613.85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53794.25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53794.25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6595436.3899999997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6595436.3899999997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3607407.3200000003</v>
      </c>
      <c r="D104" s="86">
        <f>D63+D81+D91+D103</f>
        <v>0</v>
      </c>
      <c r="E104" s="86">
        <f>E63+E81+E91+E103</f>
        <v>0</v>
      </c>
      <c r="F104" s="86">
        <f>F63+F81+F91+F103</f>
        <v>6595575.7999999998</v>
      </c>
      <c r="G104" s="86">
        <f>G63+G81+G103</f>
        <v>50000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2539086.8200000003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129478.29000000001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2668565.1100000003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248293.25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338.49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9633.6899999999987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197259.74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455525.17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1176590.28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157105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10000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40000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207105</v>
      </c>
      <c r="D144" s="141">
        <f>SUM(D130:D143)</f>
        <v>0</v>
      </c>
      <c r="E144" s="141">
        <f>SUM(E130:E143)</f>
        <v>0</v>
      </c>
      <c r="F144" s="141">
        <f>SUM(F130:F143)</f>
        <v>1176590.28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3331195.2800000003</v>
      </c>
      <c r="D145" s="86">
        <f>(D115+D128+D144)</f>
        <v>0</v>
      </c>
      <c r="E145" s="86">
        <f>(E115+E128+E144)</f>
        <v>0</v>
      </c>
      <c r="F145" s="86">
        <f>(F115+F128+F144)</f>
        <v>1176590.28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MIDDLETON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2539087</v>
      </c>
      <c r="D10" s="182">
        <f>ROUND((C10/$C$28)*100,1)</f>
        <v>77.400000000000006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129478</v>
      </c>
      <c r="D11" s="182">
        <f>ROUND((C11/$C$28)*100,1)</f>
        <v>3.9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248293</v>
      </c>
      <c r="D17" s="182">
        <f t="shared" si="0"/>
        <v>7.6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338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9634</v>
      </c>
      <c r="D20" s="182">
        <f t="shared" si="0"/>
        <v>0.3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197260</v>
      </c>
      <c r="D21" s="182">
        <f t="shared" si="0"/>
        <v>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157105</v>
      </c>
      <c r="D25" s="182">
        <f t="shared" si="0"/>
        <v>4.8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3281195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1176590</v>
      </c>
    </row>
    <row r="30" spans="1:4" x14ac:dyDescent="0.2">
      <c r="B30" s="187" t="s">
        <v>729</v>
      </c>
      <c r="C30" s="180">
        <f>SUM(C28:C29)</f>
        <v>4457785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1831166</v>
      </c>
      <c r="D35" s="182">
        <f t="shared" ref="D35:D40" si="1">ROUND((C35/$C$41)*100,1)</f>
        <v>50.7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21905.019999999786</v>
      </c>
      <c r="D36" s="182">
        <f t="shared" si="1"/>
        <v>0.6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1703614</v>
      </c>
      <c r="D37" s="182">
        <f t="shared" si="1"/>
        <v>47.2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53794</v>
      </c>
      <c r="D39" s="182">
        <f t="shared" si="1"/>
        <v>1.5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3610479.0199999996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6592504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MIDDLETON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2015-11-10T19:28:32Z</cp:lastPrinted>
  <dcterms:created xsi:type="dcterms:W3CDTF">1997-12-04T19:04:30Z</dcterms:created>
  <dcterms:modified xsi:type="dcterms:W3CDTF">2015-11-13T16:33:27Z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