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5" yWindow="0" windowWidth="21840" windowHeight="69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47" i="1" l="1"/>
  <c r="H229" i="1"/>
  <c r="G317" i="1" l="1"/>
  <c r="G298" i="1"/>
  <c r="G279" i="1"/>
  <c r="G281" i="1"/>
  <c r="I316" i="1" l="1"/>
  <c r="I279" i="1"/>
  <c r="I281" i="1"/>
  <c r="H281" i="1"/>
  <c r="I276" i="1"/>
  <c r="H472" i="1"/>
  <c r="G233" i="1" l="1"/>
  <c r="G215" i="1"/>
  <c r="G197" i="1"/>
  <c r="J604" i="1"/>
  <c r="I604" i="1"/>
  <c r="H604" i="1"/>
  <c r="J593" i="1"/>
  <c r="J592" i="1"/>
  <c r="I592" i="1"/>
  <c r="I594" i="1"/>
  <c r="J591" i="1"/>
  <c r="I591" i="1"/>
  <c r="H591" i="1"/>
  <c r="H197" i="1"/>
  <c r="I233" i="1"/>
  <c r="I216" i="1"/>
  <c r="H209" i="1"/>
  <c r="J245" i="1"/>
  <c r="I245" i="1"/>
  <c r="H245" i="1"/>
  <c r="J227" i="1"/>
  <c r="I227" i="1"/>
  <c r="H227" i="1"/>
  <c r="J209" i="1"/>
  <c r="I209" i="1"/>
  <c r="H244" i="1"/>
  <c r="H226" i="1"/>
  <c r="H208" i="1"/>
  <c r="I243" i="1"/>
  <c r="H243" i="1"/>
  <c r="I225" i="1"/>
  <c r="H225" i="1"/>
  <c r="I207" i="1"/>
  <c r="H207" i="1"/>
  <c r="K241" i="1"/>
  <c r="I241" i="1"/>
  <c r="H241" i="1"/>
  <c r="I223" i="1"/>
  <c r="H223" i="1"/>
  <c r="I205" i="1"/>
  <c r="K240" i="1"/>
  <c r="I240" i="1"/>
  <c r="H240" i="1"/>
  <c r="K222" i="1"/>
  <c r="I222" i="1"/>
  <c r="H222" i="1"/>
  <c r="K204" i="1"/>
  <c r="I204" i="1"/>
  <c r="H204" i="1"/>
  <c r="I239" i="1"/>
  <c r="I221" i="1"/>
  <c r="I203" i="1"/>
  <c r="I202" i="1"/>
  <c r="I220" i="1"/>
  <c r="K238" i="1"/>
  <c r="I238" i="1"/>
  <c r="H238" i="1"/>
  <c r="K236" i="1"/>
  <c r="I236" i="1"/>
  <c r="H236" i="1"/>
  <c r="J235" i="1"/>
  <c r="I235" i="1"/>
  <c r="H235" i="1"/>
  <c r="I234" i="1"/>
  <c r="H234" i="1"/>
  <c r="H216" i="1"/>
  <c r="I198" i="1"/>
  <c r="H198" i="1"/>
  <c r="J233" i="1"/>
  <c r="J215" i="1"/>
  <c r="I215" i="1"/>
  <c r="H215" i="1"/>
  <c r="J197" i="1"/>
  <c r="I197" i="1"/>
  <c r="I320" i="1" l="1"/>
  <c r="I319" i="1"/>
  <c r="I315" i="1"/>
  <c r="I301" i="1"/>
  <c r="I300" i="1"/>
  <c r="I296" i="1"/>
  <c r="I277" i="1"/>
  <c r="F472" i="1"/>
  <c r="G469" i="1"/>
  <c r="G468" i="1"/>
  <c r="K233" i="1"/>
  <c r="J238" i="1"/>
  <c r="J220" i="1"/>
  <c r="J202" i="1"/>
  <c r="I218" i="1"/>
  <c r="H239" i="1"/>
  <c r="H233" i="1"/>
  <c r="H221" i="1"/>
  <c r="H220" i="1"/>
  <c r="H218" i="1"/>
  <c r="H203" i="1"/>
  <c r="H202" i="1"/>
  <c r="H205" i="1"/>
  <c r="H200" i="1"/>
  <c r="H325" i="1"/>
  <c r="J325" i="1"/>
  <c r="H320" i="1"/>
  <c r="H465" i="1" l="1"/>
  <c r="H48" i="1"/>
  <c r="H22" i="1"/>
  <c r="H13" i="1"/>
  <c r="H468" i="1"/>
  <c r="F533" i="1" l="1"/>
  <c r="F532" i="1"/>
  <c r="F531" i="1"/>
  <c r="I533" i="1"/>
  <c r="I532" i="1"/>
  <c r="I531" i="1"/>
  <c r="H533" i="1"/>
  <c r="H532" i="1"/>
  <c r="H531" i="1"/>
  <c r="I527" i="1"/>
  <c r="I526" i="1"/>
  <c r="I528" i="1"/>
  <c r="H528" i="1"/>
  <c r="H527" i="1"/>
  <c r="H526" i="1"/>
  <c r="J526" i="1"/>
  <c r="J528" i="1"/>
  <c r="J527" i="1"/>
  <c r="G528" i="1"/>
  <c r="G527" i="1"/>
  <c r="G526" i="1"/>
  <c r="F528" i="1"/>
  <c r="F527" i="1"/>
  <c r="F526" i="1"/>
  <c r="F225" i="1"/>
  <c r="F243" i="1"/>
  <c r="F240" i="1"/>
  <c r="F222" i="1"/>
  <c r="F204" i="1"/>
  <c r="F207" i="1"/>
  <c r="F238" i="1"/>
  <c r="F220" i="1"/>
  <c r="F202" i="1"/>
  <c r="I521" i="1" l="1"/>
  <c r="J521" i="1"/>
  <c r="H521" i="1"/>
  <c r="G521" i="1"/>
  <c r="F521" i="1"/>
  <c r="J523" i="1"/>
  <c r="I523" i="1"/>
  <c r="H523" i="1"/>
  <c r="G523" i="1"/>
  <c r="F523" i="1"/>
  <c r="J522" i="1"/>
  <c r="I522" i="1"/>
  <c r="H522" i="1"/>
  <c r="G522" i="1"/>
  <c r="F522" i="1"/>
  <c r="I613" i="1"/>
  <c r="I612" i="1"/>
  <c r="G611" i="1"/>
  <c r="F611" i="1"/>
  <c r="H582" i="1"/>
  <c r="H584" i="1"/>
  <c r="G582" i="1"/>
  <c r="F582" i="1"/>
  <c r="I562" i="1"/>
  <c r="J557" i="1"/>
  <c r="I557" i="1"/>
  <c r="H557" i="1"/>
  <c r="G557" i="1"/>
  <c r="F557" i="1"/>
  <c r="F50" i="1"/>
  <c r="G245" i="1"/>
  <c r="G227" i="1"/>
  <c r="G209" i="1"/>
  <c r="F200" i="1"/>
  <c r="F197" i="1"/>
  <c r="I507" i="1"/>
  <c r="G458" i="1"/>
  <c r="G457" i="1"/>
  <c r="H301" i="1" l="1"/>
  <c r="H282" i="1"/>
  <c r="H319" i="1"/>
  <c r="F276" i="1"/>
  <c r="G276" i="1"/>
  <c r="G315" i="1"/>
  <c r="G296" i="1"/>
  <c r="F320" i="1"/>
  <c r="F301" i="1"/>
  <c r="F282" i="1"/>
  <c r="F279" i="1"/>
  <c r="F239" i="1"/>
  <c r="F221" i="1"/>
  <c r="F203" i="1"/>
  <c r="F245" i="1"/>
  <c r="F227" i="1"/>
  <c r="F209" i="1"/>
  <c r="J315" i="1" l="1"/>
  <c r="J277" i="1"/>
  <c r="F216" i="1" l="1"/>
  <c r="F234" i="1"/>
  <c r="F233" i="1"/>
  <c r="F235" i="1"/>
  <c r="F236" i="1"/>
  <c r="F317" i="1"/>
  <c r="F316" i="1"/>
  <c r="F315" i="1"/>
  <c r="F314" i="1"/>
  <c r="F218" i="1"/>
  <c r="F298" i="1"/>
  <c r="F296" i="1"/>
  <c r="F198" i="1"/>
  <c r="F277" i="1"/>
  <c r="C21" i="12"/>
  <c r="B10" i="12"/>
  <c r="C20" i="12" l="1"/>
  <c r="C11" i="12"/>
  <c r="C38" i="12"/>
  <c r="C39" i="12"/>
  <c r="C12" i="12"/>
  <c r="G240" i="1" l="1"/>
  <c r="G239" i="1"/>
  <c r="G238" i="1"/>
  <c r="G222" i="1"/>
  <c r="G221" i="1"/>
  <c r="G220" i="1"/>
  <c r="G204" i="1"/>
  <c r="G203" i="1"/>
  <c r="G202" i="1"/>
  <c r="H287" i="1" l="1"/>
  <c r="H283" i="1"/>
  <c r="J298" i="1"/>
  <c r="I298" i="1"/>
  <c r="H277" i="1"/>
  <c r="J276" i="1"/>
  <c r="K223" i="1" l="1"/>
  <c r="K205" i="1"/>
  <c r="J205" i="1"/>
  <c r="J241" i="1"/>
  <c r="J203" i="1"/>
  <c r="J236" i="1"/>
  <c r="K218" i="1" l="1"/>
  <c r="K200" i="1"/>
  <c r="J218" i="1"/>
  <c r="K235" i="1"/>
  <c r="K215" i="1" l="1"/>
  <c r="F241" i="1" l="1"/>
  <c r="F223" i="1"/>
  <c r="F205" i="1"/>
  <c r="F215" i="1"/>
  <c r="G442" i="1" l="1"/>
  <c r="I431" i="1"/>
  <c r="I430" i="1"/>
  <c r="K430" i="1"/>
  <c r="H429" i="1"/>
  <c r="H426" i="1"/>
  <c r="I406" i="1"/>
  <c r="H406" i="1"/>
  <c r="I403" i="1"/>
  <c r="H403" i="1"/>
  <c r="I404" i="1"/>
  <c r="I400" i="1"/>
  <c r="H400" i="1"/>
  <c r="H159" i="1"/>
  <c r="H156" i="1"/>
  <c r="H155" i="1"/>
  <c r="H154" i="1"/>
  <c r="H102" i="1"/>
  <c r="G472" i="1"/>
  <c r="I359" i="1"/>
  <c r="I358" i="1"/>
  <c r="I360" i="1"/>
  <c r="I48" i="1" l="1"/>
  <c r="F10" i="1"/>
  <c r="F9" i="1"/>
  <c r="K358" i="1" l="1"/>
  <c r="H360" i="1"/>
  <c r="H359" i="1"/>
  <c r="H358" i="1"/>
  <c r="G158" i="1"/>
  <c r="G132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H25" i="13" s="1"/>
  <c r="C25" i="13" s="1"/>
  <c r="L341" i="1"/>
  <c r="L342" i="1"/>
  <c r="E132" i="2" s="1"/>
  <c r="L255" i="1"/>
  <c r="C130" i="2" s="1"/>
  <c r="L336" i="1"/>
  <c r="C11" i="13"/>
  <c r="C10" i="13"/>
  <c r="C9" i="13"/>
  <c r="L361" i="1"/>
  <c r="B4" i="12"/>
  <c r="B36" i="12"/>
  <c r="C36" i="12"/>
  <c r="C37" i="12" s="1"/>
  <c r="C40" i="12" s="1"/>
  <c r="B40" i="12"/>
  <c r="B27" i="12"/>
  <c r="C27" i="12"/>
  <c r="C28" i="12" s="1"/>
  <c r="C31" i="12" s="1"/>
  <c r="B31" i="12"/>
  <c r="B9" i="12"/>
  <c r="B13" i="12"/>
  <c r="C9" i="12"/>
  <c r="C10" i="12" s="1"/>
  <c r="C13" i="12" s="1"/>
  <c r="B18" i="12"/>
  <c r="B22" i="12"/>
  <c r="C18" i="12"/>
  <c r="C19" i="12" s="1"/>
  <c r="C22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9" i="10"/>
  <c r="L250" i="1"/>
  <c r="L332" i="1"/>
  <c r="L254" i="1"/>
  <c r="L268" i="1"/>
  <c r="L269" i="1"/>
  <c r="L349" i="1"/>
  <c r="L350" i="1"/>
  <c r="I665" i="1"/>
  <c r="I670" i="1"/>
  <c r="F661" i="1"/>
  <c r="G661" i="1"/>
  <c r="H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3" i="2"/>
  <c r="E113" i="2"/>
  <c r="C114" i="2"/>
  <c r="E114" i="2"/>
  <c r="D115" i="2"/>
  <c r="F115" i="2"/>
  <c r="G115" i="2"/>
  <c r="E119" i="2"/>
  <c r="E121" i="2"/>
  <c r="C122" i="2"/>
  <c r="E122" i="2"/>
  <c r="E123" i="2"/>
  <c r="E124" i="2"/>
  <c r="E125" i="2"/>
  <c r="D127" i="2"/>
  <c r="D128" i="2" s="1"/>
  <c r="F128" i="2"/>
  <c r="G128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H257" i="1" s="1"/>
  <c r="H271" i="1" s="1"/>
  <c r="I211" i="1"/>
  <c r="J211" i="1"/>
  <c r="K211" i="1"/>
  <c r="F229" i="1"/>
  <c r="G229" i="1"/>
  <c r="I229" i="1"/>
  <c r="J229" i="1"/>
  <c r="K229" i="1"/>
  <c r="F247" i="1"/>
  <c r="G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J640" i="1" s="1"/>
  <c r="H460" i="1"/>
  <c r="H461" i="1" s="1"/>
  <c r="H641" i="1" s="1"/>
  <c r="J641" i="1" s="1"/>
  <c r="F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G642" i="1"/>
  <c r="G643" i="1"/>
  <c r="H643" i="1"/>
  <c r="G644" i="1"/>
  <c r="H644" i="1"/>
  <c r="G645" i="1"/>
  <c r="H645" i="1"/>
  <c r="G650" i="1"/>
  <c r="G652" i="1"/>
  <c r="H652" i="1"/>
  <c r="G653" i="1"/>
  <c r="H653" i="1"/>
  <c r="G654" i="1"/>
  <c r="H654" i="1"/>
  <c r="H655" i="1"/>
  <c r="F192" i="1"/>
  <c r="C18" i="2"/>
  <c r="C26" i="10"/>
  <c r="L351" i="1"/>
  <c r="D62" i="2"/>
  <c r="D63" i="2" s="1"/>
  <c r="D18" i="13"/>
  <c r="C18" i="13" s="1"/>
  <c r="D18" i="2"/>
  <c r="D17" i="13"/>
  <c r="C17" i="13" s="1"/>
  <c r="C91" i="2"/>
  <c r="F78" i="2"/>
  <c r="F81" i="2" s="1"/>
  <c r="D31" i="2"/>
  <c r="C78" i="2"/>
  <c r="D50" i="2"/>
  <c r="F18" i="2"/>
  <c r="E103" i="2"/>
  <c r="D91" i="2"/>
  <c r="E62" i="2"/>
  <c r="E63" i="2" s="1"/>
  <c r="E31" i="2"/>
  <c r="G62" i="2"/>
  <c r="D29" i="13"/>
  <c r="C29" i="13" s="1"/>
  <c r="D19" i="13"/>
  <c r="C19" i="13" s="1"/>
  <c r="E13" i="13"/>
  <c r="C13" i="13" s="1"/>
  <c r="J617" i="1"/>
  <c r="E78" i="2"/>
  <c r="E81" i="2" s="1"/>
  <c r="L427" i="1"/>
  <c r="H112" i="1"/>
  <c r="J639" i="1"/>
  <c r="K605" i="1"/>
  <c r="G648" i="1" s="1"/>
  <c r="K571" i="1"/>
  <c r="L433" i="1"/>
  <c r="L419" i="1"/>
  <c r="D81" i="2"/>
  <c r="I169" i="1"/>
  <c r="H169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F169" i="1"/>
  <c r="J140" i="1"/>
  <c r="G22" i="2"/>
  <c r="I661" i="1"/>
  <c r="H140" i="1"/>
  <c r="L401" i="1"/>
  <c r="C139" i="2" s="1"/>
  <c r="L393" i="1"/>
  <c r="F22" i="13"/>
  <c r="C22" i="13" s="1"/>
  <c r="J634" i="1"/>
  <c r="H571" i="1"/>
  <c r="J545" i="1"/>
  <c r="G192" i="1"/>
  <c r="H192" i="1"/>
  <c r="J655" i="1"/>
  <c r="J645" i="1"/>
  <c r="J636" i="1"/>
  <c r="G36" i="2"/>
  <c r="C138" i="2"/>
  <c r="C29" i="10" l="1"/>
  <c r="H552" i="1"/>
  <c r="L534" i="1"/>
  <c r="K550" i="1"/>
  <c r="I545" i="1"/>
  <c r="G545" i="1"/>
  <c r="K551" i="1"/>
  <c r="G552" i="1"/>
  <c r="L529" i="1"/>
  <c r="G164" i="2"/>
  <c r="G161" i="2"/>
  <c r="K503" i="1"/>
  <c r="G156" i="2"/>
  <c r="K500" i="1"/>
  <c r="H545" i="1"/>
  <c r="L524" i="1"/>
  <c r="C25" i="10"/>
  <c r="L614" i="1"/>
  <c r="L570" i="1"/>
  <c r="I571" i="1"/>
  <c r="J571" i="1"/>
  <c r="L565" i="1"/>
  <c r="G649" i="1"/>
  <c r="H647" i="1"/>
  <c r="J647" i="1" s="1"/>
  <c r="K598" i="1"/>
  <c r="G647" i="1" s="1"/>
  <c r="I552" i="1"/>
  <c r="K549" i="1"/>
  <c r="L539" i="1"/>
  <c r="L544" i="1"/>
  <c r="J552" i="1"/>
  <c r="J649" i="1"/>
  <c r="G157" i="2"/>
  <c r="J257" i="1"/>
  <c r="J271" i="1" s="1"/>
  <c r="C124" i="2"/>
  <c r="D15" i="13"/>
  <c r="C15" i="13" s="1"/>
  <c r="G651" i="1"/>
  <c r="J651" i="1" s="1"/>
  <c r="H662" i="1"/>
  <c r="I662" i="1" s="1"/>
  <c r="C21" i="10"/>
  <c r="K257" i="1"/>
  <c r="K271" i="1" s="1"/>
  <c r="I257" i="1"/>
  <c r="I271" i="1" s="1"/>
  <c r="C109" i="2"/>
  <c r="I460" i="1"/>
  <c r="I461" i="1" s="1"/>
  <c r="H642" i="1" s="1"/>
  <c r="H338" i="1"/>
  <c r="H352" i="1" s="1"/>
  <c r="E120" i="2"/>
  <c r="L309" i="1"/>
  <c r="E118" i="2"/>
  <c r="E128" i="2" s="1"/>
  <c r="C123" i="2"/>
  <c r="F112" i="1"/>
  <c r="C56" i="2"/>
  <c r="C63" i="2"/>
  <c r="C70" i="2"/>
  <c r="C81" i="2"/>
  <c r="L328" i="1"/>
  <c r="C125" i="2"/>
  <c r="D14" i="13"/>
  <c r="C14" i="13" s="1"/>
  <c r="G338" i="1"/>
  <c r="G352" i="1" s="1"/>
  <c r="E112" i="2"/>
  <c r="E109" i="2"/>
  <c r="A13" i="12"/>
  <c r="F338" i="1"/>
  <c r="F352" i="1" s="1"/>
  <c r="L290" i="1"/>
  <c r="E16" i="13"/>
  <c r="C16" i="13" s="1"/>
  <c r="C121" i="2"/>
  <c r="C13" i="10"/>
  <c r="C20" i="10"/>
  <c r="D12" i="13"/>
  <c r="C12" i="13" s="1"/>
  <c r="C112" i="2"/>
  <c r="G257" i="1"/>
  <c r="G271" i="1" s="1"/>
  <c r="C11" i="10"/>
  <c r="C120" i="2"/>
  <c r="C110" i="2"/>
  <c r="C18" i="10"/>
  <c r="D6" i="13"/>
  <c r="C6" i="13" s="1"/>
  <c r="C119" i="2"/>
  <c r="C10" i="10"/>
  <c r="E8" i="13"/>
  <c r="C8" i="13" s="1"/>
  <c r="C17" i="10"/>
  <c r="D7" i="13"/>
  <c r="C7" i="13" s="1"/>
  <c r="L229" i="1"/>
  <c r="C118" i="2"/>
  <c r="C15" i="10"/>
  <c r="A40" i="12"/>
  <c r="F257" i="1"/>
  <c r="F271" i="1" s="1"/>
  <c r="A31" i="12"/>
  <c r="L247" i="1"/>
  <c r="D5" i="13"/>
  <c r="C5" i="13" s="1"/>
  <c r="C12" i="10"/>
  <c r="L211" i="1"/>
  <c r="C111" i="2"/>
  <c r="C16" i="10"/>
  <c r="H33" i="13"/>
  <c r="L36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C104" i="2"/>
  <c r="J652" i="1"/>
  <c r="J642" i="1"/>
  <c r="G571" i="1"/>
  <c r="I434" i="1"/>
  <c r="G434" i="1"/>
  <c r="E104" i="2"/>
  <c r="I663" i="1"/>
  <c r="C27" i="10"/>
  <c r="G635" i="1"/>
  <c r="J635" i="1" s="1"/>
  <c r="H648" i="1" l="1"/>
  <c r="J648" i="1" s="1"/>
  <c r="K552" i="1"/>
  <c r="L571" i="1"/>
  <c r="L545" i="1"/>
  <c r="H660" i="1"/>
  <c r="H664" i="1" s="1"/>
  <c r="H667" i="1" s="1"/>
  <c r="G660" i="1"/>
  <c r="G664" i="1" s="1"/>
  <c r="G667" i="1" s="1"/>
  <c r="L338" i="1"/>
  <c r="L352" i="1" s="1"/>
  <c r="G633" i="1" s="1"/>
  <c r="J633" i="1" s="1"/>
  <c r="E115" i="2"/>
  <c r="E145" i="2" s="1"/>
  <c r="D31" i="13"/>
  <c r="C31" i="13" s="1"/>
  <c r="F660" i="1"/>
  <c r="F664" i="1" s="1"/>
  <c r="F672" i="1" s="1"/>
  <c r="C4" i="10" s="1"/>
  <c r="C115" i="2"/>
  <c r="E33" i="13"/>
  <c r="D35" i="13" s="1"/>
  <c r="C128" i="2"/>
  <c r="F33" i="13"/>
  <c r="C28" i="10"/>
  <c r="D22" i="10" s="1"/>
  <c r="L257" i="1"/>
  <c r="L271" i="1" s="1"/>
  <c r="G632" i="1" s="1"/>
  <c r="J632" i="1" s="1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72" i="1"/>
  <c r="C5" i="10" s="1"/>
  <c r="D33" i="13"/>
  <c r="D36" i="13" s="1"/>
  <c r="I660" i="1"/>
  <c r="I664" i="1" s="1"/>
  <c r="I672" i="1" s="1"/>
  <c r="C7" i="10" s="1"/>
  <c r="F667" i="1"/>
  <c r="C145" i="2"/>
  <c r="D18" i="10"/>
  <c r="D17" i="10"/>
  <c r="D12" i="10"/>
  <c r="D27" i="10"/>
  <c r="D24" i="10"/>
  <c r="D15" i="10"/>
  <c r="D25" i="10"/>
  <c r="D19" i="10"/>
  <c r="D10" i="10"/>
  <c r="D26" i="10"/>
  <c r="C30" i="10"/>
  <c r="D16" i="10"/>
  <c r="D23" i="10"/>
  <c r="D20" i="10"/>
  <c r="D13" i="10"/>
  <c r="D11" i="10"/>
  <c r="D21" i="10"/>
  <c r="G637" i="1"/>
  <c r="J637" i="1" s="1"/>
  <c r="H646" i="1"/>
  <c r="J646" i="1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<sst xmlns="http://schemas.openxmlformats.org/spreadsheetml/2006/main" count="3985" uniqueCount="938">
  <si>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</si>
  <si>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</si>
  <si>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</si>
  <si>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</si>
  <si>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</si>
  <si>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</si>
  <si>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</si>
  <si>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</si>
  <si>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</si>
  <si>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</si>
  <si>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</si>
  <si>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</si>
  <si>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</si>
  <si>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</si>
  <si>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</si>
  <si>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</si>
  <si>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</si>
  <si>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</si>
  <si>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</si>
  <si>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</si>
  <si>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</si>
  <si>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</si>
  <si>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</si>
  <si>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</si>
  <si>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</si>
  <si>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</si>
  <si>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</si>
  <si>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</si>
  <si>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</si>
  <si>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</si>
  <si>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</si>
  <si>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</si>
  <si>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</si>
  <si>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</si>
  <si>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</si>
  <si>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</si>
  <si>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</si>
  <si>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</si>
  <si>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</si>
  <si>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</si>
  <si>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</si>
  <si>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</si>
  <si>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</si>
  <si>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</si>
  <si>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</si>
  <si>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</si>
  <si>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</si>
  <si>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</si>
  <si>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</si>
  <si>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</si>
  <si>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</si>
  <si>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</si>
  <si>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</si>
  <si>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</si>
  <si>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</si>
  <si>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</si>
  <si>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</si>
  <si>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</si>
  <si>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</si>
  <si>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</si>
  <si>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</si>
  <si>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</si>
  <si>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</si>
  <si>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</si>
  <si>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</si>
  <si>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</si>
  <si>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</si>
  <si>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</si>
  <si>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</si>
  <si>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</si>
  <si>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</si>
  <si>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</si>
  <si>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</si>
  <si>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</si>
  <si>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</si>
  <si>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</si>
  <si>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</si>
  <si>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</si>
  <si>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</si>
  <si>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</si>
  <si>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</si>
  <si>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</si>
  <si>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</si>
  <si>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</si>
  <si>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</si>
  <si>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</si>
  <si>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</si>
  <si>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</si>
  <si>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</si>
  <si>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</si>
  <si>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</si>
  <si>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</si>
  <si>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</si>
  <si>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</si>
  <si>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</si>
  <si>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</si>
  <si>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</si>
  <si>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</si>
  <si>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</si>
  <si>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</si>
  <si>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</si>
  <si>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</si>
  <si>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</si>
  <si>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</si>
  <si>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</si>
  <si>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</si>
  <si>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</si>
  <si>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</si>
  <si>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</si>
  <si>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</si>
  <si>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</si>
  <si>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</si>
  <si>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</si>
  <si>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</si>
  <si>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</si>
  <si>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</si>
  <si>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</si>
  <si>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</si>
  <si>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</si>
  <si>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</si>
  <si>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</si>
  <si>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</si>
  <si>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</si>
  <si>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</si>
  <si>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</si>
  <si>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</si>
  <si>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</si>
  <si>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</si>
  <si>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</si>
  <si>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</si>
  <si>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</si>
  <si>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</si>
  <si>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</si>
  <si>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</si>
  <si>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</si>
  <si>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</si>
  <si>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</si>
  <si>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</si>
  <si>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</si>
  <si>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</si>
  <si>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</si>
  <si>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</si>
  <si>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</si>
  <si>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</si>
  <si>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</si>
  <si>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</si>
  <si>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</si>
  <si>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</si>
  <si>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</si>
  <si>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</si>
  <si>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</si>
  <si>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</si>
  <si>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</si>
  <si>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</si>
  <si>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</si>
  <si>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</si>
  <si>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</si>
  <si>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</si>
  <si>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</si>
  <si>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</si>
  <si>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</si>
  <si>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</si>
  <si>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</si>
  <si>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</si>
  <si>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</si>
  <si>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</si>
  <si>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</si>
  <si>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</si>
  <si>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</si>
  <si>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</si>
  <si>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</si>
  <si>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</si>
  <si>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</si>
  <si>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</si>
  <si>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</si>
  <si>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</si>
  <si>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</si>
  <si>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</si>
  <si>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</si>
  <si>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</si>
  <si>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</si>
  <si>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</si>
  <si>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</si>
  <si>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</si>
  <si>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</si>
  <si>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</si>
  <si>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</si>
  <si>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</si>
  <si>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</si>
  <si>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</si>
  <si>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</si>
  <si>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</si>
  <si>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</si>
  <si>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</si>
  <si>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</si>
  <si>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</si>
  <si>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</si>
  <si>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</si>
  <si>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</si>
  <si>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</si>
  <si>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</si>
  <si>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</si>
  <si>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</si>
  <si>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</si>
  <si>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</si>
  <si>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</si>
  <si>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</si>
  <si>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</si>
  <si>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</si>
  <si>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</si>
  <si>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</si>
  <si>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</si>
  <si>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</si>
  <si>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</si>
  <si>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</si>
  <si>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</si>
  <si>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</si>
  <si>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</si>
  <si>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</si>
  <si>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</si>
  <si>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</si>
  <si>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</si>
  <si>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</si>
  <si>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</si>
  <si>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</si>
  <si>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</si>
  <si>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</si>
  <si>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</si>
  <si>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</si>
  <si>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</si>
  <si>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</si>
  <si>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</si>
  <si>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</si>
  <si>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</si>
  <si>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</si>
  <si>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</si>
  <si>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</si>
  <si>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</si>
  <si>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</si>
  <si>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</si>
  <si>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</si>
  <si>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</si>
  <si>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</si>
  <si>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</si>
  <si>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</si>
  <si>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</si>
  <si>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</si>
  <si>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</si>
  <si>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</si>
  <si>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</si>
  <si>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</si>
  <si>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</si>
  <si>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</si>
  <si>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</si>
  <si>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</si>
  <si>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</si>
  <si>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</si>
  <si>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</si>
  <si>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</si>
  <si>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</si>
  <si>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</si>
  <si>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</si>
  <si>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</si>
  <si>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</si>
  <si>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</si>
  <si>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</si>
  <si>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</si>
  <si>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</si>
  <si>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</si>
  <si>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</si>
  <si>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</si>
  <si>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</si>
  <si>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</si>
  <si>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</si>
  <si>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</si>
  <si>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</si>
  <si>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</si>
  <si>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</si>
  <si>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</si>
  <si>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</si>
  <si>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</si>
  <si>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</si>
  <si>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</si>
  <si>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</si>
  <si>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</si>
  <si>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</si>
  <si>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</si>
  <si>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</si>
  <si>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</si>
  <si>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</si>
  <si>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</si>
  <si>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</si>
  <si>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</si>
  <si>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</si>
  <si>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</si>
  <si>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</si>
  <si>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</si>
  <si>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</si>
  <si>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</si>
  <si>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</si>
  <si>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</si>
  <si>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</si>
  <si>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</si>
  <si>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</si>
  <si>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</si>
  <si>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</si>
  <si>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</si>
  <si>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</si>
  <si>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</si>
  <si>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</si>
  <si>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</si>
  <si>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</si>
  <si>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</si>
  <si>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</si>
  <si>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</si>
  <si>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</si>
  <si>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</si>
  <si>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</si>
  <si>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</si>
  <si>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</si>
  <si>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</si>
  <si>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</si>
  <si>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</si>
  <si>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</si>
  <si>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</si>
  <si>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</si>
  <si>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</si>
  <si>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</si>
  <si>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</si>
  <si>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</si>
  <si>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</si>
  <si>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</si>
  <si>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</si>
  <si>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</si>
  <si>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</si>
  <si>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</si>
  <si>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</si>
  <si>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</si>
  <si>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</si>
  <si>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</si>
  <si>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</si>
  <si>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</si>
  <si>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</si>
  <si>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</si>
  <si>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</si>
  <si>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</si>
  <si>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</si>
  <si>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</si>
  <si>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</si>
  <si>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</si>
  <si>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</si>
  <si>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</si>
  <si>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</si>
  <si>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</si>
  <si>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</si>
  <si>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</si>
  <si>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</si>
  <si>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</si>
  <si>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</si>
  <si>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</si>
  <si>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</si>
  <si>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</si>
  <si>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</si>
  <si>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</si>
  <si>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</si>
  <si>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</si>
  <si>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</si>
  <si>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</si>
  <si>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</si>
  <si>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</si>
  <si>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</si>
  <si>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</si>
  <si>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</si>
  <si>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</si>
  <si>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</si>
  <si>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</si>
  <si>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</si>
  <si>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</si>
  <si>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</si>
  <si>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</si>
  <si>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</si>
  <si>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</si>
  <si>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</si>
  <si>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</si>
  <si>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</si>
  <si>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</si>
  <si>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</si>
  <si>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</si>
  <si>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</si>
  <si>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</si>
  <si>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</si>
  <si>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</si>
  <si>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</si>
  <si>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</si>
  <si>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</si>
  <si>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</si>
  <si>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</si>
  <si>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</si>
  <si>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</si>
  <si>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</si>
  <si>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</si>
  <si>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</si>
  <si>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</si>
  <si>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</si>
  <si>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</si>
  <si>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</si>
  <si>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</si>
  <si>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</si>
  <si>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</si>
  <si>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</si>
  <si>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</si>
  <si>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</si>
  <si>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</si>
  <si>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</si>
  <si>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</si>
  <si>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</si>
  <si>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</si>
  <si>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</si>
  <si>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</si>
  <si>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</si>
  <si>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</si>
  <si>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</si>
  <si>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</si>
  <si>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</si>
  <si>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</si>
  <si>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</si>
  <si>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</si>
  <si>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</si>
  <si>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</si>
  <si>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</si>
  <si>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</si>
  <si>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</si>
  <si>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</si>
  <si>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</si>
  <si>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</si>
  <si>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</si>
  <si>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</si>
  <si>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</si>
  <si>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</si>
  <si>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</si>
  <si>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</si>
  <si>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</si>
  <si>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</si>
  <si>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</si>
  <si>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</si>
  <si>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</si>
  <si>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</si>
  <si>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</si>
  <si>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</si>
  <si>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</si>
  <si>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</si>
  <si>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</si>
  <si>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</si>
  <si>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</si>
  <si>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</si>
  <si>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</si>
  <si>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</si>
  <si>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</si>
  <si>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</si>
  <si>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</si>
  <si>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</si>
  <si>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</si>
  <si>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</si>
  <si>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</si>
  <si>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</si>
  <si>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</si>
  <si>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</si>
  <si>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</si>
  <si>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</si>
  <si>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</si>
  <si>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</si>
  <si>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</si>
  <si>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</si>
  <si>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</si>
  <si>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</si>
  <si>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</si>
  <si>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</si>
  <si>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</si>
  <si>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</si>
  <si>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</si>
  <si>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</si>
  <si>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</si>
  <si>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</si>
  <si>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</si>
  <si>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</si>
  <si>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</si>
  <si>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</si>
  <si>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</si>
  <si>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</si>
  <si>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</si>
  <si>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</si>
  <si>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</si>
  <si>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</si>
  <si>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</si>
  <si>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</si>
  <si>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</si>
  <si>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</si>
  <si>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</si>
  <si>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</si>
  <si>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</si>
  <si>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</si>
  <si>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</si>
  <si>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</si>
  <si>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</si>
  <si>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</si>
  <si>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</si>
  <si>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</si>
  <si>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</si>
  <si>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</si>
  <si>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</si>
  <si>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</si>
  <si>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</si>
  <si>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</si>
  <si>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</si>
  <si>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</si>
  <si>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</si>
  <si>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</si>
  <si>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</si>
  <si>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</si>
  <si>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</si>
  <si>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</si>
  <si>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</si>
  <si>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</si>
  <si>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</si>
  <si>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</si>
  <si>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</si>
  <si>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</si>
  <si>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</si>
  <si>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</si>
  <si>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</si>
  <si>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</si>
  <si>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</si>
  <si>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</si>
  <si>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</si>
  <si>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</si>
  <si>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</si>
  <si>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</si>
  <si>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</si>
  <si>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</si>
  <si>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</si>
  <si>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</si>
  <si>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</si>
  <si>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</si>
  <si>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</si>
  <si>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</si>
  <si>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</si>
  <si>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</si>
  <si>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</si>
  <si>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</si>
  <si>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</si>
  <si>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</si>
  <si>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</si>
  <si>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</si>
  <si>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</si>
  <si>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</si>
  <si>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</si>
  <si>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</si>
  <si>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</si>
  <si>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</si>
  <si>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</si>
  <si>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</si>
  <si>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</si>
  <si>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</si>
  <si>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</si>
  <si>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</si>
  <si>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</si>
  <si>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</si>
  <si>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</si>
  <si>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</si>
  <si>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</si>
  <si>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</si>
  <si>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</si>
  <si>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</si>
  <si>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</si>
  <si>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</si>
  <si>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</si>
  <si>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</si>
  <si>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</si>
  <si>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</si>
  <si>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</si>
  <si>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</si>
  <si>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</si>
  <si>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</si>
  <si>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</si>
  <si>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</si>
  <si>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</si>
  <si>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</si>
  <si>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</si>
  <si>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</si>
  <si>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</si>
  <si>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</si>
  <si>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</si>
  <si>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</si>
  <si>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</si>
  <si>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</si>
  <si>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</si>
  <si>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</si>
  <si>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</si>
  <si>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</si>
  <si>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</si>
  <si>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</si>
  <si>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</si>
  <si>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</si>
  <si>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</si>
  <si>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</si>
  <si>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</si>
  <si>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</si>
  <si>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</si>
  <si>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</si>
  <si>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</si>
  <si>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</si>
  <si>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</si>
  <si>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</si>
  <si>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</si>
  <si>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</si>
  <si>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</si>
  <si>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</si>
  <si>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</si>
  <si>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</si>
  <si>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</si>
  <si>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</si>
  <si>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</si>
  <si>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</si>
  <si>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</si>
  <si>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</si>
  <si>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</si>
  <si>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</si>
  <si>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</si>
  <si>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</si>
  <si>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</si>
  <si>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</si>
  <si>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</si>
  <si>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</si>
  <si>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</si>
  <si>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</si>
  <si>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</si>
  <si>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</si>
  <si>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</si>
  <si>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</si>
  <si>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</si>
  <si>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</si>
  <si>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</si>
  <si>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</si>
  <si>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</si>
  <si>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</si>
  <si>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</si>
  <si>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</si>
  <si>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</si>
  <si>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</si>
  <si>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</si>
  <si>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</si>
  <si>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</si>
  <si>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</si>
  <si>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</si>
  <si>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</si>
  <si>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</si>
  <si>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</si>
  <si>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</si>
  <si>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</si>
  <si>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</si>
  <si>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</si>
  <si>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</si>
  <si>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</si>
  <si>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</si>
  <si>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</si>
  <si>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</si>
  <si>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</si>
  <si>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</si>
  <si>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</si>
  <si>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</si>
  <si>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</si>
  <si>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</si>
  <si>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</si>
  <si>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</si>
  <si>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</si>
  <si>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</si>
  <si>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</si>
  <si>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</si>
  <si>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</si>
  <si>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</si>
  <si>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</si>
  <si>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</si>
  <si>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</si>
  <si>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</si>
  <si>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</si>
  <si>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</si>
  <si>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</si>
  <si>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</si>
  <si>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</si>
  <si>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</si>
  <si>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</si>
  <si>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</si>
  <si>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</si>
  <si>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</si>
  <si>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</si>
  <si>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</si>
  <si>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</si>
  <si>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</si>
  <si>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</si>
  <si>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</si>
  <si>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</si>
  <si>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</si>
  <si>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</si>
  <si>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</si>
  <si>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</si>
  <si>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</si>
  <si>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</si>
  <si>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</si>
  <si>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</si>
  <si>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</si>
  <si>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</si>
  <si>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</si>
  <si>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</si>
  <si>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</si>
  <si>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</si>
  <si>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</si>
  <si>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</si>
  <si>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</si>
  <si>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</si>
  <si>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</si>
  <si>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</si>
  <si>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</si>
  <si>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</si>
  <si>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</si>
  <si>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</si>
  <si>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</si>
  <si>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</si>
  <si>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</si>
  <si>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</si>
  <si>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</si>
  <si>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</si>
  <si>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</si>
  <si>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</si>
  <si>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</si>
  <si>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</si>
  <si>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</si>
  <si>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</si>
  <si>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</si>
  <si>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</si>
  <si>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</si>
  <si>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</si>
  <si>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</si>
  <si>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</si>
  <si>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</si>
  <si>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</si>
  <si>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</si>
  <si>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</si>
  <si>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</si>
  <si>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</si>
  <si>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</si>
  <si>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</si>
  <si>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</si>
  <si>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</si>
  <si>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</si>
  <si>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</si>
  <si>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</si>
  <si>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</si>
  <si>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</si>
  <si>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</si>
  <si>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</si>
  <si>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</si>
  <si>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</si>
  <si>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</si>
  <si>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</si>
  <si>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</si>
  <si>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</si>
  <si>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</si>
  <si>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</si>
  <si>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</si>
  <si>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</si>
  <si>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</si>
  <si>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</si>
  <si>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</si>
  <si>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</si>
  <si>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</si>
  <si>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</si>
  <si>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</si>
  <si>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</si>
  <si>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</si>
  <si>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</si>
  <si>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</si>
  <si>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</si>
  <si>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</si>
  <si>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</si>
  <si>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</si>
  <si>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</si>
  <si>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</si>
  <si>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</si>
  <si>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</si>
  <si>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</si>
  <si>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</si>
  <si>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</si>
  <si>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</si>
  <si>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</si>
  <si>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</si>
  <si>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</si>
  <si>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</si>
  <si>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</si>
  <si>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</si>
  <si>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</si>
  <si>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</si>
  <si>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</si>
  <si>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</si>
  <si>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</si>
  <si>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</si>
  <si>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</si>
  <si>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</si>
  <si>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</si>
  <si>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</si>
  <si>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</si>
  <si>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</si>
  <si>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</si>
  <si>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</si>
  <si>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</si>
  <si>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</si>
  <si>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</si>
  <si>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</si>
  <si>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</si>
  <si>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</si>
  <si>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</si>
  <si>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</si>
  <si>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</si>
  <si>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</si>
  <si>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</si>
  <si>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</si>
  <si>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</si>
  <si>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</si>
  <si>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</si>
  <si>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</si>
  <si>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</si>
  <si>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</si>
  <si>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</si>
  <si>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</si>
  <si>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</si>
  <si>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</si>
  <si>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</si>
  <si>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</si>
  <si>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</si>
  <si>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</si>
  <si>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</si>
  <si>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</si>
  <si>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</si>
  <si>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</si>
  <si>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</si>
  <si>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</si>
  <si>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</si>
  <si>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</si>
  <si>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</si>
  <si>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</si>
  <si>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</si>
  <si>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</si>
  <si>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</si>
  <si>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</si>
  <si>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</si>
  <si>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</si>
  <si>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</si>
  <si>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</si>
  <si>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</si>
  <si>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</si>
  <si>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</si>
  <si>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</si>
  <si>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</si>
  <si>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</si>
  <si>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</si>
  <si>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</si>
  <si>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</si>
  <si>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</si>
  <si>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</si>
  <si>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</si>
  <si>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</si>
  <si>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</si>
  <si>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</si>
  <si>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</si>
  <si>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</si>
  <si>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</si>
  <si>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</si>
  <si>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</si>
  <si>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</si>
  <si>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</si>
  <si>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</si>
  <si>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</si>
  <si>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</si>
  <si>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</si>
  <si>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</si>
  <si>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</si>
  <si>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</si>
  <si>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</si>
  <si>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</si>
  <si>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</si>
  <si>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</si>
  <si>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</si>
  <si>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</si>
  <si>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</si>
  <si>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</si>
  <si>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</si>
  <si>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</si>
  <si>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</si>
  <si>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</si>
  <si>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</si>
  <si>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</si>
  <si>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</si>
  <si>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</si>
  <si>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</si>
  <si>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</si>
  <si>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</si>
  <si>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</si>
  <si>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</si>
  <si>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</si>
  <si>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</si>
  <si>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</si>
  <si>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</si>
  <si>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SCHOLARSHIP FUNDS</t>
  </si>
  <si>
    <t>MAA OCONNOR</t>
  </si>
  <si>
    <t>MARCHESI</t>
  </si>
  <si>
    <t>FUND 21 RESERVE FOR ENCUMB. $40.47</t>
  </si>
  <si>
    <t xml:space="preserve">FUND 21 13-14 AP CHECK $12 </t>
  </si>
  <si>
    <t>Pgs 7-9</t>
  </si>
  <si>
    <t>Column 2</t>
  </si>
  <si>
    <t>We allocate all our health, dental and workers compensation insurance based on a percentage of the salary.</t>
  </si>
  <si>
    <t>Hence, these are reported in various function lines within the object 2 columns of the general fund section.</t>
  </si>
  <si>
    <t>The following represents what we received in Premium Holidays for this fiscal year:</t>
  </si>
  <si>
    <t>Recorded in the 2900-211 account.</t>
  </si>
  <si>
    <t>Recorded in the 2900-212 account.</t>
  </si>
  <si>
    <t>Milford School District SAU#40</t>
  </si>
  <si>
    <t>07/10</t>
  </si>
  <si>
    <t>01/00</t>
  </si>
  <si>
    <t>07/13</t>
  </si>
  <si>
    <t>01/08</t>
  </si>
  <si>
    <t>07/15</t>
  </si>
  <si>
    <t>01/20</t>
  </si>
  <si>
    <t>08/23</t>
  </si>
  <si>
    <t>01/28</t>
  </si>
  <si>
    <t>11/14</t>
  </si>
  <si>
    <t>11/19</t>
  </si>
  <si>
    <t>FUND 22 13-14 LOSS</t>
  </si>
  <si>
    <t>NH School Health Care - Health $967,150.82, received in July 2014 invoice in the form of a credit.</t>
  </si>
  <si>
    <t>We use a generic 2900-211 for health and 2900-212 for dental during the year.</t>
  </si>
  <si>
    <t>HealthTrust - Dental - $30,086.13, received as a check in September.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</si>
</sst>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923</v>
      </c>
      <c r="B2" s="21">
        <v>357</v>
      </c>
      <c r="C2" s="21">
        <v>357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510279.6+100</f>
        <v>510379.6</v>
      </c>
      <c r="G9" s="18">
        <v>322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246617.54+245929.35</f>
        <v>492546.89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3393.49</v>
      </c>
      <c r="G12" s="18">
        <v>52317.56</v>
      </c>
      <c r="H12" s="18"/>
      <c r="I12" s="18">
        <v>93320.59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44356.13</v>
      </c>
      <c r="G13" s="18">
        <v>18318.62</v>
      </c>
      <c r="H13" s="18">
        <f>187766.19+11020</f>
        <v>198786.19</v>
      </c>
      <c r="I13" s="18"/>
      <c r="J13" s="67">
        <f>SUM(I442)</f>
        <v>3212707.2399999998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4021.4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215083.17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1269780.6799999997</v>
      </c>
      <c r="G19" s="41">
        <f>SUM(G9:G18)</f>
        <v>70958.179999999993</v>
      </c>
      <c r="H19" s="41">
        <f>SUM(H9:H18)</f>
        <v>198786.19</v>
      </c>
      <c r="I19" s="41">
        <f>SUM(I9:I18)</f>
        <v>93320.59</v>
      </c>
      <c r="J19" s="41">
        <f>SUM(J9:J18)</f>
        <v>3212707.2399999998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147690.4+1341.24</f>
        <v>149031.63999999998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155046.84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155046.84</v>
      </c>
      <c r="G32" s="41">
        <f>SUM(G22:G31)</f>
        <v>0</v>
      </c>
      <c r="H32" s="41">
        <f>SUM(H22:H31)</f>
        <v>149031.63999999998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215083.17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2955904.51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174389.13999999998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82413.59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70917.710000000006</v>
      </c>
      <c r="H48" s="18">
        <f>60670.55-20594.76+18733.59-9054.83</f>
        <v>49754.55</v>
      </c>
      <c r="I48" s="18">
        <f>344615.35-251294.76</f>
        <v>93320.589999999967</v>
      </c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110632.74</v>
      </c>
      <c r="G49" s="18">
        <v>40.47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695378.57+93639.36</f>
        <v>789017.92999999993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1114733.8399999999</v>
      </c>
      <c r="G51" s="41">
        <f>SUM(G35:G50)</f>
        <v>70958.180000000008</v>
      </c>
      <c r="H51" s="41">
        <f>SUM(H35:H50)</f>
        <v>49754.55</v>
      </c>
      <c r="I51" s="41">
        <f>SUM(I35:I50)</f>
        <v>93320.589999999967</v>
      </c>
      <c r="J51" s="41">
        <f>SUM(J35:J50)</f>
        <v>3212707.2399999998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1269780.68</v>
      </c>
      <c r="G52" s="41">
        <f>G51+G32</f>
        <v>70958.180000000008</v>
      </c>
      <c r="H52" s="41">
        <f>H51+H32</f>
        <v>198786.19</v>
      </c>
      <c r="I52" s="41">
        <f>I51+I32</f>
        <v>93320.589999999967</v>
      </c>
      <c r="J52" s="41">
        <f>J51+J32</f>
        <v>3212707.2399999998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21640670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21640670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15009.35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2885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63929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793445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331651.40000000002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37600.160000000003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1180590.9099999999</v>
      </c>
      <c r="G79" s="45" t="s">
        <v>289</v>
      </c>
      <c r="H79" s="41">
        <f>SUM(H63:H78)</f>
        <v>63929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1133.26</v>
      </c>
      <c r="G96" s="18"/>
      <c r="H96" s="18"/>
      <c r="I96" s="18"/>
      <c r="J96" s="18">
        <v>86996.55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83679.4+77573.3+82183.55+8630.33+421.2+16606.95+26018.41+48731.03+89415.47</f>
        <v>433259.6399999999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4183.3599999999997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3896+2410.29+965.77+500+5750</f>
        <v>13522.06</v>
      </c>
      <c r="I102" s="18"/>
      <c r="J102" s="18">
        <v>22749.74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12621.68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7380.66</v>
      </c>
      <c r="G110" s="18"/>
      <c r="H110" s="18">
        <v>3740</v>
      </c>
      <c r="I110" s="18"/>
      <c r="J110" s="18">
        <v>189997.75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25318.959999999999</v>
      </c>
      <c r="G111" s="41">
        <f>SUM(G96:G110)</f>
        <v>433259.6399999999</v>
      </c>
      <c r="H111" s="41">
        <f>SUM(H96:H110)</f>
        <v>17262.059999999998</v>
      </c>
      <c r="I111" s="41">
        <f>SUM(I96:I110)</f>
        <v>0</v>
      </c>
      <c r="J111" s="41">
        <f>SUM(J96:J110)</f>
        <v>299744.04000000004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22846579.870000001</v>
      </c>
      <c r="G112" s="41">
        <f>G60+G111</f>
        <v>433259.6399999999</v>
      </c>
      <c r="H112" s="41">
        <f>H60+H79+H94+H111</f>
        <v>81191.06</v>
      </c>
      <c r="I112" s="41">
        <f>I60+I111</f>
        <v>0</v>
      </c>
      <c r="J112" s="41">
        <f>J60+J111</f>
        <v>299744.04000000004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8071340.0700000003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3033037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1994.9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11106371.970000001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240864.94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30891.91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77954.34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10664.5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9164.7+1079.31</f>
        <v>10244.01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360375.68999999994</v>
      </c>
      <c r="G136" s="41">
        <f>SUM(G123:G135)</f>
        <v>10244.01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11466747.66</v>
      </c>
      <c r="G140" s="41">
        <f>G121+SUM(G136:G137)</f>
        <v>10244.01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33591.12+330039.3</f>
        <v>363630.42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8700+107111.25</f>
        <v>115811.25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1796.27+115534.64</f>
        <v>117330.91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200148.54+44806.45</f>
        <v>244954.99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521996.73+13823</f>
        <v>535819.73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220830.74</v>
      </c>
      <c r="G160" s="24" t="s">
        <v>289</v>
      </c>
      <c r="H160" s="18">
        <v>1962.18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43709.83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220830.74</v>
      </c>
      <c r="G162" s="41">
        <f>SUM(G150:G161)</f>
        <v>288664.82</v>
      </c>
      <c r="H162" s="41">
        <f>SUM(H150:H161)</f>
        <v>1134554.49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220830.74</v>
      </c>
      <c r="G169" s="41">
        <f>G147+G162+SUM(G163:G168)</f>
        <v>288664.82</v>
      </c>
      <c r="H169" s="41">
        <f>H147+H162+SUM(H163:H168)</f>
        <v>1134554.49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68277.27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68277.27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35000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35000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35000</v>
      </c>
      <c r="G192" s="41">
        <f>G183+SUM(G188:G191)</f>
        <v>68277.27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34569158.270000003</v>
      </c>
      <c r="G193" s="47">
        <f>G112+G140+G169+G192</f>
        <v>800445.74</v>
      </c>
      <c r="H193" s="47">
        <f>H112+H140+H169+H192</f>
        <v>1215745.55</v>
      </c>
      <c r="I193" s="47">
        <f>I112+I140+I169+I192</f>
        <v>0</v>
      </c>
      <c r="J193" s="47">
        <f>J112+J140+J192</f>
        <v>299744.04000000004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2348797.81+852833.24+115703.22+96232.1+53854.7+27845-0.01</f>
        <v>3495266.0600000005</v>
      </c>
      <c r="G197" s="18">
        <f>1721839.83-1161.38</f>
        <v>1720678.4500000002</v>
      </c>
      <c r="H197" s="18">
        <f>3420.19</f>
        <v>3420.19</v>
      </c>
      <c r="I197" s="18">
        <f>113788.25-4068.54+889.51</f>
        <v>110609.22</v>
      </c>
      <c r="J197" s="18">
        <f>58021.21-946+802.41</f>
        <v>57877.62</v>
      </c>
      <c r="K197" s="18">
        <v>260.75</v>
      </c>
      <c r="L197" s="19">
        <f>SUM(F197:K197)</f>
        <v>5388112.290000001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531321.8+155674.06+15867.13+10588.5+47304.22+23909.34+475992.99+190152.81+25327.87+11436.37+7181.14+20771.99+8382.4</f>
        <v>1523910.62</v>
      </c>
      <c r="G198" s="18">
        <v>637923.03</v>
      </c>
      <c r="H198" s="18">
        <f>48382.4+47673.85+7075.57</f>
        <v>103131.82</v>
      </c>
      <c r="I198" s="18">
        <f>1468.02+2087.69+3704.15+292.5+319.2+148.24</f>
        <v>8019.8</v>
      </c>
      <c r="J198" s="18"/>
      <c r="K198" s="18"/>
      <c r="L198" s="19">
        <f>SUM(F198:K198)</f>
        <v>2272985.27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28291.7+780+0.01</f>
        <v>29071.71</v>
      </c>
      <c r="G200" s="18">
        <v>6002.84</v>
      </c>
      <c r="H200" s="18">
        <f>21690.96</f>
        <v>21690.959999999999</v>
      </c>
      <c r="I200" s="18"/>
      <c r="J200" s="18"/>
      <c r="K200" s="18">
        <f>835+160</f>
        <v>995</v>
      </c>
      <c r="L200" s="19">
        <f>SUM(F200:K200)</f>
        <v>57760.51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192487.78+115858.57+12019.97+339234.45+185807.61</f>
        <v>845408.38</v>
      </c>
      <c r="G202" s="18">
        <f>927.09+103934.95+35487.49+161404.33+67927.59</f>
        <v>369681.44999999995</v>
      </c>
      <c r="H202" s="18">
        <f>5117.5+716+27820.62</f>
        <v>33654.119999999995</v>
      </c>
      <c r="I202" s="18">
        <f>583.78+1454.38+3184.58+1130.82</f>
        <v>6353.5599999999995</v>
      </c>
      <c r="J202" s="18">
        <f>845.82+1135.68</f>
        <v>1981.5</v>
      </c>
      <c r="K202" s="18"/>
      <c r="L202" s="19">
        <f t="shared" ref="L202:L208" si="0">SUM(F202:K202)</f>
        <v>1257079.0100000002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78027.85+31397.5+134.81</f>
        <v>109560.16</v>
      </c>
      <c r="G203" s="18">
        <f>250.63+39490.77</f>
        <v>39741.399999999994</v>
      </c>
      <c r="H203" s="18">
        <f>2900.46-503.52+2433-359+1666.73</f>
        <v>6137.67</v>
      </c>
      <c r="I203" s="18">
        <f>5860.05+257.41+109.43+315.76+184.82</f>
        <v>6727.47</v>
      </c>
      <c r="J203" s="18">
        <f>798-798</f>
        <v>0</v>
      </c>
      <c r="K203" s="18"/>
      <c r="L203" s="19">
        <f t="shared" si="0"/>
        <v>162166.70000000001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98380.77+4046.89+221897.94+125037.59</f>
        <v>449363.18999999994</v>
      </c>
      <c r="G204" s="18">
        <f>309.8+105659.87+133799.4</f>
        <v>239769.07</v>
      </c>
      <c r="H204" s="18">
        <f>31360.15+708.94</f>
        <v>32069.09</v>
      </c>
      <c r="I204" s="18">
        <f>3952.89+8829.69</f>
        <v>12782.58</v>
      </c>
      <c r="J204" s="18">
        <v>-12.57</v>
      </c>
      <c r="K204" s="18">
        <f>5160.54+50.7</f>
        <v>5211.24</v>
      </c>
      <c r="L204" s="19">
        <f t="shared" si="0"/>
        <v>739182.6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170000+91080+103040.82+70462.95</f>
        <v>434583.77</v>
      </c>
      <c r="G205" s="18">
        <v>226529.54</v>
      </c>
      <c r="H205" s="18">
        <f>6725.59-1530</f>
        <v>5195.59</v>
      </c>
      <c r="I205" s="18">
        <f>2757.99-235.29+108.82+52.72</f>
        <v>2684.24</v>
      </c>
      <c r="J205" s="18">
        <f>1404.97</f>
        <v>1404.97</v>
      </c>
      <c r="K205" s="18">
        <f>1976+839</f>
        <v>2815</v>
      </c>
      <c r="L205" s="19">
        <f t="shared" si="0"/>
        <v>673213.11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297949.64+110775.18</f>
        <v>408724.82</v>
      </c>
      <c r="G207" s="18">
        <v>155754.5</v>
      </c>
      <c r="H207" s="18">
        <f>94621.03+153605.97+15922.09+10848.92+12098.65+165+45</f>
        <v>287306.66000000003</v>
      </c>
      <c r="I207" s="18">
        <f>231184.5-229.39+29736.12+223.55+7424.01+383.48+338.47</f>
        <v>269060.73999999993</v>
      </c>
      <c r="J207" s="18"/>
      <c r="K207" s="18"/>
      <c r="L207" s="19">
        <f t="shared" si="0"/>
        <v>1120846.72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129044.05+330402.62+1475.6</f>
        <v>460922.26999999996</v>
      </c>
      <c r="I208" s="18"/>
      <c r="J208" s="18"/>
      <c r="K208" s="18"/>
      <c r="L208" s="19">
        <f t="shared" si="0"/>
        <v>460922.26999999996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105907.1+84133.28</f>
        <v>190040.38</v>
      </c>
      <c r="G209" s="18">
        <f>25296.75+5051.66</f>
        <v>30348.41</v>
      </c>
      <c r="H209" s="18">
        <f>62745.21+1248</f>
        <v>63993.21</v>
      </c>
      <c r="I209" s="18">
        <f>18396.02+838.96</f>
        <v>19234.98</v>
      </c>
      <c r="J209" s="18">
        <f>11293.71+9570.72</f>
        <v>20864.43</v>
      </c>
      <c r="K209" s="18"/>
      <c r="L209" s="19">
        <f>SUM(F209:K209)</f>
        <v>324481.40999999997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7485929.0900000008</v>
      </c>
      <c r="G211" s="41">
        <f t="shared" si="1"/>
        <v>3426428.6900000004</v>
      </c>
      <c r="H211" s="41">
        <f>SUM(H197:H210)</f>
        <v>1017521.58</v>
      </c>
      <c r="I211" s="41">
        <f t="shared" si="1"/>
        <v>435472.58999999985</v>
      </c>
      <c r="J211" s="41">
        <f t="shared" si="1"/>
        <v>82115.950000000012</v>
      </c>
      <c r="K211" s="41">
        <f t="shared" si="1"/>
        <v>9281.99</v>
      </c>
      <c r="L211" s="41">
        <f t="shared" si="1"/>
        <v>12456749.889999999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2479173.89+59349.85+44185.9</f>
        <v>2582709.64</v>
      </c>
      <c r="G215" s="18">
        <f>1324474.34-1267.7</f>
        <v>1323206.6400000001</v>
      </c>
      <c r="H215" s="18">
        <f>1892.73-627.5+1877.27</f>
        <v>3142.5</v>
      </c>
      <c r="I215" s="18">
        <f>79147.45-4723.41+1274.92</f>
        <v>75698.959999999992</v>
      </c>
      <c r="J215" s="18">
        <f>8487.44-4635.99+5727.9</f>
        <v>9579.35</v>
      </c>
      <c r="K215" s="18">
        <f>200+760+240+311</f>
        <v>1511</v>
      </c>
      <c r="L215" s="19">
        <f>SUM(F215:K215)</f>
        <v>3995848.0900000003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11188.36+445588.32+18756.36+16858.88+404345.4+19921.33+5063.62+29214.74+0.28</f>
        <v>950937.29</v>
      </c>
      <c r="G216" s="18">
        <v>394724.74</v>
      </c>
      <c r="H216" s="18">
        <f>69558.26-5023.24+30897.76+4994.78</f>
        <v>100427.56</v>
      </c>
      <c r="I216" s="18">
        <f>33175.89+426.46+30.26</f>
        <v>33632.61</v>
      </c>
      <c r="J216" s="18"/>
      <c r="K216" s="18"/>
      <c r="L216" s="19">
        <f>SUM(F216:K216)</f>
        <v>1479722.2000000002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5680+550+38351.98</f>
        <v>44581.98</v>
      </c>
      <c r="G218" s="18">
        <v>3889.25</v>
      </c>
      <c r="H218" s="18">
        <f>10751.4</f>
        <v>10751.4</v>
      </c>
      <c r="I218" s="18">
        <f>4784.56</f>
        <v>4784.5600000000004</v>
      </c>
      <c r="J218" s="18">
        <f>-1500</f>
        <v>-1500</v>
      </c>
      <c r="K218" s="18">
        <f>3365.36</f>
        <v>3365.36</v>
      </c>
      <c r="L218" s="19">
        <f>SUM(F218:K218)</f>
        <v>65872.55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167412.31+86040.82+4006.66+93941.85+19832.98</f>
        <v>371234.62</v>
      </c>
      <c r="G220" s="18">
        <f>309.03+96733.89+32170.63+44696.59+6269.36</f>
        <v>180179.5</v>
      </c>
      <c r="H220" s="18">
        <f>4829+353+25031.97</f>
        <v>30213.97</v>
      </c>
      <c r="I220" s="18">
        <f>248.12+996.55+2373.36+265.25</f>
        <v>3883.28</v>
      </c>
      <c r="J220" s="18">
        <f>37.9+314.5</f>
        <v>352.4</v>
      </c>
      <c r="K220" s="18"/>
      <c r="L220" s="19">
        <f t="shared" ref="L220:L226" si="2">SUM(F220:K220)</f>
        <v>585863.77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624+79239.16+22288.77+95.06</f>
        <v>102246.99</v>
      </c>
      <c r="G221" s="18">
        <f>389.92+38613.41</f>
        <v>39003.33</v>
      </c>
      <c r="H221" s="18">
        <f>2426.94+1503.17+1175.26</f>
        <v>5105.37</v>
      </c>
      <c r="I221" s="18">
        <f>332.4+4169.18+181.52+73.17</f>
        <v>4756.2700000000004</v>
      </c>
      <c r="J221" s="18"/>
      <c r="K221" s="18"/>
      <c r="L221" s="19">
        <f t="shared" si="2"/>
        <v>151111.96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98414.07+2853.57+156466.5+81037.74</f>
        <v>338771.88</v>
      </c>
      <c r="G222" s="18">
        <f>220.04+75013.62+90933.85</f>
        <v>166167.51</v>
      </c>
      <c r="H222" s="18">
        <f>22011.91+499.9</f>
        <v>22511.81</v>
      </c>
      <c r="I222" s="18">
        <f>2720.57+6226.07</f>
        <v>8946.64</v>
      </c>
      <c r="J222" s="18">
        <v>-8.15</v>
      </c>
      <c r="K222" s="18">
        <f>3610.19+35.75</f>
        <v>3645.94</v>
      </c>
      <c r="L222" s="19">
        <f t="shared" si="2"/>
        <v>540035.63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207407+104725.43</f>
        <v>312132.43</v>
      </c>
      <c r="G223" s="18">
        <v>182379.69</v>
      </c>
      <c r="H223" s="18">
        <f>804.27+224.8</f>
        <v>1029.07</v>
      </c>
      <c r="I223" s="18">
        <f>1798.42-477+132.97</f>
        <v>1454.39</v>
      </c>
      <c r="J223" s="18">
        <v>0</v>
      </c>
      <c r="K223" s="18">
        <f>2778.89</f>
        <v>2778.89</v>
      </c>
      <c r="L223" s="19">
        <f t="shared" si="2"/>
        <v>499774.47000000003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181883.11+64552.44</f>
        <v>246435.55</v>
      </c>
      <c r="G225" s="18">
        <v>124207.81</v>
      </c>
      <c r="H225" s="18">
        <f>35580.54+94402.61+11228.12+74279.95+100</f>
        <v>215591.21999999997</v>
      </c>
      <c r="I225" s="18">
        <f>142079.47-307.14+17328.24+157.63+9290.63</f>
        <v>168548.83</v>
      </c>
      <c r="J225" s="18"/>
      <c r="K225" s="18"/>
      <c r="L225" s="19">
        <f t="shared" si="2"/>
        <v>754783.40999999992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112571.32+194701.54+4112.36</f>
        <v>311385.21999999997</v>
      </c>
      <c r="I226" s="18"/>
      <c r="J226" s="18"/>
      <c r="K226" s="18"/>
      <c r="L226" s="19">
        <f t="shared" si="2"/>
        <v>311385.21999999997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123020.5+59324.75</f>
        <v>182345.25</v>
      </c>
      <c r="G227" s="18">
        <f>17967.18+3562.07</f>
        <v>21529.25</v>
      </c>
      <c r="H227" s="18">
        <f>44243.41+880</f>
        <v>45123.41</v>
      </c>
      <c r="I227" s="18">
        <f>12971.55+591.58</f>
        <v>13563.13</v>
      </c>
      <c r="J227" s="18">
        <f>7963.51+6748.58</f>
        <v>14712.09</v>
      </c>
      <c r="K227" s="18"/>
      <c r="L227" s="19">
        <f>SUM(F227:K227)</f>
        <v>277273.13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5131395.63</v>
      </c>
      <c r="G229" s="41">
        <f>SUM(G215:G228)</f>
        <v>2435287.7200000002</v>
      </c>
      <c r="H229" s="41">
        <f>SUM(H215:H228)</f>
        <v>745281.52999999991</v>
      </c>
      <c r="I229" s="41">
        <f>SUM(I215:I228)</f>
        <v>315268.67000000004</v>
      </c>
      <c r="J229" s="41">
        <f>SUM(J215:J228)</f>
        <v>23135.690000000002</v>
      </c>
      <c r="K229" s="41">
        <f t="shared" si="3"/>
        <v>11301.19</v>
      </c>
      <c r="L229" s="41">
        <f t="shared" si="3"/>
        <v>8661670.4300000016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3316376.43+41895</f>
        <v>3358271.43</v>
      </c>
      <c r="G233" s="18">
        <f>1677027.14-1487.27</f>
        <v>1675539.8699999999</v>
      </c>
      <c r="H233" s="18">
        <f>7902.04-4603.9</f>
        <v>3298.1400000000003</v>
      </c>
      <c r="I233" s="18">
        <f>108571.88-1445.76+3062.2</f>
        <v>110188.32</v>
      </c>
      <c r="J233" s="18">
        <f>14697.42-3308.39</f>
        <v>11389.03</v>
      </c>
      <c r="K233" s="18">
        <f>2994</f>
        <v>2994</v>
      </c>
      <c r="L233" s="19">
        <f>SUM(F233:K233)</f>
        <v>5161680.79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13629.45+303773.13+115217.64+20537.51+361449.68+122373.9+6168.41+29434.6</f>
        <v>972584.32000000007</v>
      </c>
      <c r="G234" s="18">
        <v>425188.54</v>
      </c>
      <c r="H234" s="18">
        <f>65018.86-582+27606.26+9799.78</f>
        <v>101842.9</v>
      </c>
      <c r="I234" s="18">
        <f>461.94+2619.69+695.79</f>
        <v>3777.42</v>
      </c>
      <c r="J234" s="18"/>
      <c r="K234" s="18"/>
      <c r="L234" s="19">
        <f>SUM(F234:K234)</f>
        <v>1503393.18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31401.46+671814.94</f>
        <v>703216.39999999991</v>
      </c>
      <c r="G235" s="18">
        <v>355209.78</v>
      </c>
      <c r="H235" s="18">
        <f>22656.57-4166.56+300+4326.48</f>
        <v>23116.489999999998</v>
      </c>
      <c r="I235" s="18">
        <f>37039.09-103.9+1577.17</f>
        <v>38512.359999999993</v>
      </c>
      <c r="J235" s="18">
        <f>28725.72+2747.25</f>
        <v>31472.97</v>
      </c>
      <c r="K235" s="18">
        <f>1020</f>
        <v>1020</v>
      </c>
      <c r="L235" s="19">
        <f>SUM(F235:K235)</f>
        <v>1152548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7800+670+131815.18</f>
        <v>140285.18</v>
      </c>
      <c r="G236" s="18">
        <v>12456.36</v>
      </c>
      <c r="H236" s="18">
        <f>41295.3-15+320+8</f>
        <v>41608.300000000003</v>
      </c>
      <c r="I236" s="18">
        <f>18868.45+1583.45</f>
        <v>20451.900000000001</v>
      </c>
      <c r="J236" s="18">
        <f>9180-8380</f>
        <v>800</v>
      </c>
      <c r="K236" s="18">
        <f>9100+190</f>
        <v>9290</v>
      </c>
      <c r="L236" s="19">
        <f>SUM(F236:K236)</f>
        <v>224891.73999999996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16314+437074.26+82328.54+88722.86+3493.28</f>
        <v>627932.94000000006</v>
      </c>
      <c r="G238" s="18">
        <f>3310.57+221227.95+31841.69+42213.44+1465.16</f>
        <v>300058.81</v>
      </c>
      <c r="H238" s="18">
        <f>16096.68+353+2900+16240.31+6</f>
        <v>35595.99</v>
      </c>
      <c r="I238" s="18">
        <f>2426.41-276+1872.59-169.94+1018.3+47.92+93.97+487.02</f>
        <v>5500.27</v>
      </c>
      <c r="J238" s="18">
        <f>4445+297.02</f>
        <v>4742.0200000000004</v>
      </c>
      <c r="K238" s="18">
        <f>314+135+1.79</f>
        <v>450.79</v>
      </c>
      <c r="L238" s="19">
        <f t="shared" ref="L238:L244" si="4">SUM(F238:K238)</f>
        <v>974280.82000000007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1560+92564.87+16585.82+115.79</f>
        <v>110826.48</v>
      </c>
      <c r="G239" s="18">
        <f>212.74+46627.6</f>
        <v>46840.34</v>
      </c>
      <c r="H239" s="18">
        <f>1010+1187.87+1431.68</f>
        <v>3629.55</v>
      </c>
      <c r="I239" s="18">
        <f>1151.61+16366.9+221.12+301.18+202.74</f>
        <v>18243.55</v>
      </c>
      <c r="J239" s="18">
        <v>7915.62</v>
      </c>
      <c r="K239" s="18"/>
      <c r="L239" s="19">
        <f t="shared" si="4"/>
        <v>187455.53999999998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85062.5+3476.17+190604.65+72404.85+97029.4</f>
        <v>448577.57000000007</v>
      </c>
      <c r="G240" s="18">
        <f>264.52+90249.26+160105.91</f>
        <v>250619.69</v>
      </c>
      <c r="H240" s="18">
        <f>26643.82+608.96</f>
        <v>27252.78</v>
      </c>
      <c r="I240" s="18">
        <f>3067.91+7584.48</f>
        <v>10652.39</v>
      </c>
      <c r="J240" s="18">
        <v>-7.28</v>
      </c>
      <c r="K240" s="18">
        <f>4292.14+43.55</f>
        <v>4335.6900000000005</v>
      </c>
      <c r="L240" s="19">
        <f t="shared" si="4"/>
        <v>741430.84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294381+120193.41</f>
        <v>414574.41000000003</v>
      </c>
      <c r="G241" s="18">
        <v>216064.61</v>
      </c>
      <c r="H241" s="18">
        <f>12278.75+524.27+40</f>
        <v>12843.02</v>
      </c>
      <c r="I241" s="18">
        <f>5653.35-684.98+958.95</f>
        <v>5927.3200000000006</v>
      </c>
      <c r="J241" s="18">
        <f>627.11</f>
        <v>627.11</v>
      </c>
      <c r="K241" s="18">
        <f>18325.06-598.56+5275.06</f>
        <v>23001.56</v>
      </c>
      <c r="L241" s="19">
        <f t="shared" si="4"/>
        <v>673038.03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222201.2+90320.27</f>
        <v>312521.47000000003</v>
      </c>
      <c r="G243" s="18">
        <v>155306.37</v>
      </c>
      <c r="H243" s="18">
        <f>105559.11-17185+126985.72+13676.65+13373.96+120</f>
        <v>242530.44</v>
      </c>
      <c r="I243" s="18">
        <f>225104.95-504.63+24245.27+192.03+13200.99+1132.81</f>
        <v>263371.42</v>
      </c>
      <c r="J243" s="18"/>
      <c r="K243" s="18"/>
      <c r="L243" s="19">
        <f t="shared" si="4"/>
        <v>973729.7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119730.11+64900.51+9608.44</f>
        <v>194239.06</v>
      </c>
      <c r="I244" s="18"/>
      <c r="J244" s="18"/>
      <c r="K244" s="18"/>
      <c r="L244" s="19">
        <f t="shared" si="4"/>
        <v>194239.06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106588.8+72268.34</f>
        <v>178857.14</v>
      </c>
      <c r="G245" s="18">
        <f>21599.54+4339.25</f>
        <v>25938.79</v>
      </c>
      <c r="H245" s="18">
        <f>53896.52+1071.99</f>
        <v>54968.509999999995</v>
      </c>
      <c r="I245" s="18">
        <f>15801.71+720.65</f>
        <v>16522.36</v>
      </c>
      <c r="J245" s="18">
        <f>9701.01+8221</f>
        <v>17922.010000000002</v>
      </c>
      <c r="K245" s="18"/>
      <c r="L245" s="19">
        <f>SUM(F245:K245)</f>
        <v>294208.81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7267647.3400000008</v>
      </c>
      <c r="G247" s="41">
        <f t="shared" si="5"/>
        <v>3463223.1599999992</v>
      </c>
      <c r="H247" s="41">
        <f t="shared" si="5"/>
        <v>740925.17999999993</v>
      </c>
      <c r="I247" s="41">
        <f t="shared" si="5"/>
        <v>493147.30999999994</v>
      </c>
      <c r="J247" s="41">
        <f t="shared" si="5"/>
        <v>74861.48000000001</v>
      </c>
      <c r="K247" s="41">
        <f t="shared" si="5"/>
        <v>41092.040000000008</v>
      </c>
      <c r="L247" s="41">
        <f t="shared" si="5"/>
        <v>12080896.509999998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15000</v>
      </c>
      <c r="I255" s="18"/>
      <c r="J255" s="18">
        <v>34000</v>
      </c>
      <c r="K255" s="18"/>
      <c r="L255" s="19">
        <f t="shared" si="6"/>
        <v>49000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15000</v>
      </c>
      <c r="I256" s="41">
        <f t="shared" si="7"/>
        <v>0</v>
      </c>
      <c r="J256" s="41">
        <f t="shared" si="7"/>
        <v>34000</v>
      </c>
      <c r="K256" s="41">
        <f t="shared" si="7"/>
        <v>0</v>
      </c>
      <c r="L256" s="41">
        <f>SUM(F256:K256)</f>
        <v>49000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19884972.060000002</v>
      </c>
      <c r="G257" s="41">
        <f t="shared" si="8"/>
        <v>9324939.5700000003</v>
      </c>
      <c r="H257" s="41">
        <f t="shared" si="8"/>
        <v>2518728.29</v>
      </c>
      <c r="I257" s="41">
        <f t="shared" si="8"/>
        <v>1243888.5699999998</v>
      </c>
      <c r="J257" s="41">
        <f t="shared" si="8"/>
        <v>214113.12000000002</v>
      </c>
      <c r="K257" s="41">
        <f t="shared" si="8"/>
        <v>61675.220000000008</v>
      </c>
      <c r="L257" s="41">
        <f t="shared" si="8"/>
        <v>33248316.829999998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1018070</v>
      </c>
      <c r="L260" s="19">
        <f>SUM(F260:K260)</f>
        <v>1018070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399273.02</v>
      </c>
      <c r="L261" s="19">
        <f>SUM(F261:K261)</f>
        <v>399273.02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68277.27</v>
      </c>
      <c r="L263" s="19">
        <f>SUM(F263:K263)</f>
        <v>68277.27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1485620.29</v>
      </c>
      <c r="L270" s="41">
        <f t="shared" si="9"/>
        <v>1485620.29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19884972.060000002</v>
      </c>
      <c r="G271" s="42">
        <f t="shared" si="11"/>
        <v>9324939.5700000003</v>
      </c>
      <c r="H271" s="42">
        <f t="shared" si="11"/>
        <v>2518728.29</v>
      </c>
      <c r="I271" s="42">
        <f t="shared" si="11"/>
        <v>1243888.5699999998</v>
      </c>
      <c r="J271" s="42">
        <f t="shared" si="11"/>
        <v>214113.12000000002</v>
      </c>
      <c r="K271" s="42">
        <f t="shared" si="11"/>
        <v>1547295.51</v>
      </c>
      <c r="L271" s="42">
        <f t="shared" si="11"/>
        <v>34733937.119999997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16133+44000+3809+116585.01+66814.45</f>
        <v>247341.46000000002</v>
      </c>
      <c r="G276" s="18">
        <f>34606.8</f>
        <v>34606.800000000003</v>
      </c>
      <c r="H276" s="18"/>
      <c r="I276" s="18">
        <f>5765.42</f>
        <v>5765.42</v>
      </c>
      <c r="J276" s="18">
        <f>888.73</f>
        <v>888.73</v>
      </c>
      <c r="K276" s="18"/>
      <c r="L276" s="19">
        <f>SUM(F276:K276)</f>
        <v>288602.40999999997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10987.88</f>
        <v>10987.88</v>
      </c>
      <c r="G277" s="18">
        <v>8261.36</v>
      </c>
      <c r="H277" s="18">
        <f>5+35</f>
        <v>40</v>
      </c>
      <c r="I277" s="18">
        <f>337.66+720.77</f>
        <v>1058.43</v>
      </c>
      <c r="J277" s="18">
        <f>9976.3+832.5+4408.15</f>
        <v>15216.949999999999</v>
      </c>
      <c r="K277" s="18"/>
      <c r="L277" s="19">
        <f>SUM(F277:K277)</f>
        <v>35564.619999999995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405.6+5122+5200+2250+2175+271.82</f>
        <v>15424.42</v>
      </c>
      <c r="G279" s="18">
        <f>1703.49+151.2</f>
        <v>1854.69</v>
      </c>
      <c r="H279" s="18"/>
      <c r="I279" s="18">
        <f>3514.73</f>
        <v>3514.73</v>
      </c>
      <c r="J279" s="18"/>
      <c r="K279" s="18"/>
      <c r="L279" s="19">
        <f>SUM(F279:K279)</f>
        <v>20793.84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50836.04</v>
      </c>
      <c r="G281" s="18">
        <f>20281+81.75</f>
        <v>20362.75</v>
      </c>
      <c r="H281" s="18">
        <f>1735+5879.53</f>
        <v>7614.53</v>
      </c>
      <c r="I281" s="18">
        <f>1597.66+1943.6+423.14</f>
        <v>3964.4</v>
      </c>
      <c r="J281" s="18"/>
      <c r="K281" s="18"/>
      <c r="L281" s="19">
        <f t="shared" ref="L281:L287" si="12">SUM(F281:K281)</f>
        <v>82777.72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17457.5+312</f>
        <v>17769.5</v>
      </c>
      <c r="G282" s="18">
        <v>1327.75</v>
      </c>
      <c r="H282" s="18">
        <f>175+1422.01</f>
        <v>1597.01</v>
      </c>
      <c r="I282" s="18">
        <v>743.91</v>
      </c>
      <c r="J282" s="18"/>
      <c r="K282" s="18"/>
      <c r="L282" s="19">
        <f t="shared" si="12"/>
        <v>21438.17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72000</v>
      </c>
      <c r="G283" s="18">
        <v>23982.19</v>
      </c>
      <c r="H283" s="18">
        <f>39.1+272.82+19.55+136.39</f>
        <v>467.86</v>
      </c>
      <c r="I283" s="18"/>
      <c r="J283" s="18"/>
      <c r="K283" s="18"/>
      <c r="L283" s="19">
        <f t="shared" si="12"/>
        <v>96450.05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1784.91</v>
      </c>
      <c r="I286" s="18"/>
      <c r="J286" s="18"/>
      <c r="K286" s="18"/>
      <c r="L286" s="19">
        <f t="shared" si="12"/>
        <v>1784.91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3678.5</f>
        <v>3678.5</v>
      </c>
      <c r="I287" s="18"/>
      <c r="J287" s="18"/>
      <c r="K287" s="18"/>
      <c r="L287" s="19">
        <f t="shared" si="12"/>
        <v>3678.5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414359.3</v>
      </c>
      <c r="G290" s="42">
        <f t="shared" si="13"/>
        <v>90395.540000000008</v>
      </c>
      <c r="H290" s="42">
        <f t="shared" si="13"/>
        <v>15182.81</v>
      </c>
      <c r="I290" s="42">
        <f t="shared" si="13"/>
        <v>15046.89</v>
      </c>
      <c r="J290" s="42">
        <f t="shared" si="13"/>
        <v>16105.679999999998</v>
      </c>
      <c r="K290" s="42">
        <f t="shared" si="13"/>
        <v>0</v>
      </c>
      <c r="L290" s="41">
        <f t="shared" si="13"/>
        <v>551090.22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7747.87+16632.47</f>
        <v>24380.34</v>
      </c>
      <c r="G296" s="18">
        <f>5825.32+6879.81</f>
        <v>12705.130000000001</v>
      </c>
      <c r="H296" s="18"/>
      <c r="I296" s="18">
        <f>115.68</f>
        <v>115.68</v>
      </c>
      <c r="J296" s="18">
        <v>2930.19</v>
      </c>
      <c r="K296" s="18"/>
      <c r="L296" s="19">
        <f>SUM(F296:K296)</f>
        <v>40131.340000000004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286+191.68</f>
        <v>477.68</v>
      </c>
      <c r="G298" s="18">
        <f>37.69+106.61</f>
        <v>144.30000000000001</v>
      </c>
      <c r="H298" s="18"/>
      <c r="I298" s="18">
        <f>897</f>
        <v>897</v>
      </c>
      <c r="J298" s="18">
        <f>2999</f>
        <v>2999</v>
      </c>
      <c r="K298" s="18"/>
      <c r="L298" s="19">
        <f>SUM(F298:K298)</f>
        <v>4517.9799999999996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101672.07</v>
      </c>
      <c r="G300" s="18">
        <v>41067</v>
      </c>
      <c r="H300" s="18">
        <v>4145.82</v>
      </c>
      <c r="I300" s="18">
        <f>189.39</f>
        <v>189.39</v>
      </c>
      <c r="J300" s="18"/>
      <c r="K300" s="18"/>
      <c r="L300" s="19">
        <f t="shared" ref="L300:L306" si="14">SUM(F300:K300)</f>
        <v>147074.28000000003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7117+220</f>
        <v>7337</v>
      </c>
      <c r="G301" s="18">
        <v>936.23</v>
      </c>
      <c r="H301" s="18">
        <f>6090+1002.7</f>
        <v>7092.7</v>
      </c>
      <c r="I301" s="18">
        <f>525.7</f>
        <v>525.70000000000005</v>
      </c>
      <c r="J301" s="18"/>
      <c r="K301" s="18"/>
      <c r="L301" s="19">
        <f t="shared" si="14"/>
        <v>15891.630000000001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1258.5899999999999</v>
      </c>
      <c r="I305" s="18"/>
      <c r="J305" s="18"/>
      <c r="K305" s="18"/>
      <c r="L305" s="19">
        <f t="shared" si="14"/>
        <v>1258.5899999999999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133867.09000000003</v>
      </c>
      <c r="G309" s="42">
        <f t="shared" si="15"/>
        <v>54852.66</v>
      </c>
      <c r="H309" s="42">
        <f t="shared" si="15"/>
        <v>12497.11</v>
      </c>
      <c r="I309" s="42">
        <f t="shared" si="15"/>
        <v>1727.7700000000002</v>
      </c>
      <c r="J309" s="42">
        <f t="shared" si="15"/>
        <v>5929.1900000000005</v>
      </c>
      <c r="K309" s="42">
        <f t="shared" si="15"/>
        <v>0</v>
      </c>
      <c r="L309" s="41">
        <f t="shared" si="15"/>
        <v>208873.82000000004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43454.62</f>
        <v>43454.62</v>
      </c>
      <c r="G314" s="18">
        <v>6490.46</v>
      </c>
      <c r="H314" s="18"/>
      <c r="I314" s="18">
        <v>65.88</v>
      </c>
      <c r="J314" s="18"/>
      <c r="K314" s="18"/>
      <c r="L314" s="19">
        <f>SUM(F314:K314)</f>
        <v>50010.96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9438.31+102170.88</f>
        <v>111609.19</v>
      </c>
      <c r="G315" s="18">
        <f>7096.3+42261.68</f>
        <v>49357.98</v>
      </c>
      <c r="H315" s="18"/>
      <c r="I315" s="18">
        <f>53.39</f>
        <v>53.39</v>
      </c>
      <c r="J315" s="18">
        <f>22615+32257.2+3526.68</f>
        <v>58398.879999999997</v>
      </c>
      <c r="K315" s="18"/>
      <c r="L315" s="19">
        <f>SUM(F315:K315)</f>
        <v>219419.44000000003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1560+34601.54</f>
        <v>36161.54</v>
      </c>
      <c r="G316" s="18">
        <v>15276.65</v>
      </c>
      <c r="H316" s="18">
        <v>7443.04</v>
      </c>
      <c r="I316" s="18">
        <f>5025</f>
        <v>5025</v>
      </c>
      <c r="J316" s="18"/>
      <c r="K316" s="18"/>
      <c r="L316" s="19">
        <f>SUM(F316:K316)</f>
        <v>63906.23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348.4+233.5</f>
        <v>581.9</v>
      </c>
      <c r="G317" s="18">
        <f>45.91+129.87</f>
        <v>175.78</v>
      </c>
      <c r="H317" s="18"/>
      <c r="I317" s="18"/>
      <c r="J317" s="18"/>
      <c r="K317" s="18"/>
      <c r="L317" s="19">
        <f>SUM(F317:K317)</f>
        <v>757.68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68518.149999999994</v>
      </c>
      <c r="G319" s="18">
        <v>28525.91</v>
      </c>
      <c r="H319" s="18">
        <f>6700+5050.37</f>
        <v>11750.369999999999</v>
      </c>
      <c r="I319" s="18">
        <f>206.24</f>
        <v>206.24</v>
      </c>
      <c r="J319" s="18"/>
      <c r="K319" s="18"/>
      <c r="L319" s="19">
        <f t="shared" ref="L319:L325" si="16">SUM(F319:K319)</f>
        <v>109000.67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11950+268</f>
        <v>12218</v>
      </c>
      <c r="G320" s="18">
        <v>1140.5</v>
      </c>
      <c r="H320" s="18">
        <f>2610+1221.46+740</f>
        <v>4571.46</v>
      </c>
      <c r="I320" s="18">
        <f>640.09</f>
        <v>640.09</v>
      </c>
      <c r="J320" s="18"/>
      <c r="K320" s="18"/>
      <c r="L320" s="19">
        <f t="shared" si="16"/>
        <v>18570.05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1533.2</v>
      </c>
      <c r="I324" s="18"/>
      <c r="J324" s="18"/>
      <c r="K324" s="18"/>
      <c r="L324" s="19">
        <f t="shared" si="16"/>
        <v>1533.2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2299</f>
        <v>2299</v>
      </c>
      <c r="I325" s="18">
        <v>3556.87</v>
      </c>
      <c r="J325" s="18">
        <f>16377</f>
        <v>16377</v>
      </c>
      <c r="K325" s="18"/>
      <c r="L325" s="19">
        <f t="shared" si="16"/>
        <v>22232.87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272543.40000000002</v>
      </c>
      <c r="G328" s="42">
        <f t="shared" si="17"/>
        <v>100967.28</v>
      </c>
      <c r="H328" s="42">
        <f t="shared" si="17"/>
        <v>27597.07</v>
      </c>
      <c r="I328" s="42">
        <f t="shared" si="17"/>
        <v>9547.4700000000012</v>
      </c>
      <c r="J328" s="42">
        <f t="shared" si="17"/>
        <v>74775.88</v>
      </c>
      <c r="K328" s="42">
        <f t="shared" si="17"/>
        <v>0</v>
      </c>
      <c r="L328" s="41">
        <f t="shared" si="17"/>
        <v>485431.1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820769.79</v>
      </c>
      <c r="G338" s="41">
        <f t="shared" si="20"/>
        <v>246215.48</v>
      </c>
      <c r="H338" s="41">
        <f t="shared" si="20"/>
        <v>55276.99</v>
      </c>
      <c r="I338" s="41">
        <f t="shared" si="20"/>
        <v>26322.13</v>
      </c>
      <c r="J338" s="41">
        <f t="shared" si="20"/>
        <v>96810.75</v>
      </c>
      <c r="K338" s="41">
        <f t="shared" si="20"/>
        <v>0</v>
      </c>
      <c r="L338" s="41">
        <f t="shared" si="20"/>
        <v>1245395.1400000001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820769.79</v>
      </c>
      <c r="G352" s="41">
        <f>G338</f>
        <v>246215.48</v>
      </c>
      <c r="H352" s="41">
        <f>H338</f>
        <v>55276.99</v>
      </c>
      <c r="I352" s="41">
        <f>I338</f>
        <v>26322.13</v>
      </c>
      <c r="J352" s="41">
        <f>J338</f>
        <v>96810.75</v>
      </c>
      <c r="K352" s="47">
        <f>K338+K351</f>
        <v>0</v>
      </c>
      <c r="L352" s="41">
        <f>L338+L351</f>
        <v>1245395.1400000001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119307.06</v>
      </c>
      <c r="G358" s="18">
        <v>34750.410000000003</v>
      </c>
      <c r="H358" s="18">
        <f>2280.5+595.67</f>
        <v>2876.17</v>
      </c>
      <c r="I358" s="18">
        <f>11194.87+111037.56</f>
        <v>122232.43</v>
      </c>
      <c r="J358" s="18"/>
      <c r="K358" s="18">
        <f>215.72+68.56</f>
        <v>284.27999999999997</v>
      </c>
      <c r="L358" s="13">
        <f>SUM(F358:K358)</f>
        <v>279450.35000000003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97116.2</v>
      </c>
      <c r="G359" s="18">
        <v>29965.86</v>
      </c>
      <c r="H359" s="18">
        <f>310.16+191.72</f>
        <v>501.88</v>
      </c>
      <c r="I359" s="18">
        <f>7425.92+95740.46</f>
        <v>103166.38</v>
      </c>
      <c r="J359" s="18"/>
      <c r="K359" s="18">
        <v>126.21</v>
      </c>
      <c r="L359" s="19">
        <f>SUM(F359:K359)</f>
        <v>230876.53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109603.17</v>
      </c>
      <c r="G360" s="18">
        <v>29074.080000000002</v>
      </c>
      <c r="H360" s="18">
        <f>745.63+102.65+41.72</f>
        <v>890</v>
      </c>
      <c r="I360" s="18">
        <f>16179.76+134215.64</f>
        <v>150395.40000000002</v>
      </c>
      <c r="J360" s="18"/>
      <c r="K360" s="18">
        <v>156.21</v>
      </c>
      <c r="L360" s="19">
        <f>SUM(F360:K360)</f>
        <v>290118.86000000004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326026.43</v>
      </c>
      <c r="G362" s="47">
        <f t="shared" si="22"/>
        <v>93790.35</v>
      </c>
      <c r="H362" s="47">
        <f t="shared" si="22"/>
        <v>4268.05</v>
      </c>
      <c r="I362" s="47">
        <f t="shared" si="22"/>
        <v>375794.21</v>
      </c>
      <c r="J362" s="47">
        <f t="shared" si="22"/>
        <v>0</v>
      </c>
      <c r="K362" s="47">
        <f t="shared" si="22"/>
        <v>566.69999999999993</v>
      </c>
      <c r="L362" s="47">
        <f t="shared" si="22"/>
        <v>800445.74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111037.56</v>
      </c>
      <c r="G367" s="18">
        <v>95740.46</v>
      </c>
      <c r="H367" s="18">
        <v>134215.64000000001</v>
      </c>
      <c r="I367" s="56">
        <f>SUM(F367:H367)</f>
        <v>340993.66000000003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11194.87</v>
      </c>
      <c r="G368" s="63">
        <v>7425.92</v>
      </c>
      <c r="H368" s="63">
        <v>16179.76</v>
      </c>
      <c r="I368" s="56">
        <f>SUM(F368:H368)</f>
        <v>34800.550000000003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122232.43</v>
      </c>
      <c r="G369" s="47">
        <f>SUM(G367:G368)</f>
        <v>103166.38</v>
      </c>
      <c r="H369" s="47">
        <f>SUM(H367:H368)</f>
        <v>150395.40000000002</v>
      </c>
      <c r="I369" s="47">
        <f>SUM(I367:I368)</f>
        <v>375794.21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251294.76</v>
      </c>
      <c r="I379" s="18"/>
      <c r="J379" s="18"/>
      <c r="K379" s="18"/>
      <c r="L379" s="13">
        <f t="shared" si="23"/>
        <v>251294.76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251294.76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251294.76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1956.44+37.08+47.92+9.73+40.59+207.74+2603.57</f>
        <v>4903.07</v>
      </c>
      <c r="I400" s="18">
        <f>3604.74+68.43+88.4+17.93+74.88+383.94+4824.27+1535+9424</f>
        <v>20021.59</v>
      </c>
      <c r="J400" s="24" t="s">
        <v>289</v>
      </c>
      <c r="K400" s="24" t="s">
        <v>289</v>
      </c>
      <c r="L400" s="56">
        <f t="shared" si="26"/>
        <v>24924.66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4903.07</v>
      </c>
      <c r="I401" s="47">
        <f>SUM(I395:I400)</f>
        <v>20021.59</v>
      </c>
      <c r="J401" s="45" t="s">
        <v>289</v>
      </c>
      <c r="K401" s="45" t="s">
        <v>289</v>
      </c>
      <c r="L401" s="47">
        <f>SUM(L395:L400)</f>
        <v>24924.66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911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>
        <f>3785.6+1007.85+651.29+8571.71+421.67+711+145.08</f>
        <v>15294.199999999999</v>
      </c>
      <c r="I403" s="18">
        <f>6983.18+1859.18+1201.45+15811.96+777.82+1311.57+11846+242.28</f>
        <v>40033.440000000002</v>
      </c>
      <c r="J403" s="24" t="s">
        <v>289</v>
      </c>
      <c r="K403" s="24" t="s">
        <v>289</v>
      </c>
      <c r="L403" s="56">
        <f>SUM(F403:K403)</f>
        <v>55327.64</v>
      </c>
      <c r="M403" s="8"/>
      <c r="N403" s="272"/>
    </row>
    <row r="404" spans="1:21" s="3" customFormat="1" ht="12" customHeight="1" x14ac:dyDescent="0.15">
      <c r="A404" s="110" t="s">
        <v>912</v>
      </c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>
        <v>49081.69</v>
      </c>
      <c r="I404" s="18">
        <f>121149.72-55.26</f>
        <v>121094.46</v>
      </c>
      <c r="J404" s="24" t="s">
        <v>289</v>
      </c>
      <c r="K404" s="24" t="s">
        <v>289</v>
      </c>
      <c r="L404" s="56">
        <f>SUM(F404:K404)</f>
        <v>170176.15000000002</v>
      </c>
      <c r="M404" s="8"/>
      <c r="N404" s="272"/>
    </row>
    <row r="405" spans="1:21" s="3" customFormat="1" ht="12" customHeight="1" x14ac:dyDescent="0.15">
      <c r="A405" s="110" t="s">
        <v>913</v>
      </c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>
        <v>8016.26</v>
      </c>
      <c r="I405" s="18">
        <v>13702.31</v>
      </c>
      <c r="J405" s="24" t="s">
        <v>289</v>
      </c>
      <c r="K405" s="24" t="s">
        <v>289</v>
      </c>
      <c r="L405" s="56">
        <f>SUM(F405:K405)</f>
        <v>21718.57</v>
      </c>
      <c r="M405" s="8"/>
      <c r="N405" s="272"/>
    </row>
    <row r="406" spans="1:21" s="3" customFormat="1" ht="12" customHeight="1" thickBot="1" x14ac:dyDescent="0.2">
      <c r="A406" s="110" t="s">
        <v>311</v>
      </c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>
        <f>753.28+8948.05</f>
        <v>9701.33</v>
      </c>
      <c r="I406" s="18">
        <f>1389.55+16506.14</f>
        <v>17895.689999999999</v>
      </c>
      <c r="J406" s="24" t="s">
        <v>289</v>
      </c>
      <c r="K406" s="24" t="s">
        <v>289</v>
      </c>
      <c r="L406" s="56">
        <f>SUM(F406:K406)</f>
        <v>27597.019999999997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82093.48</v>
      </c>
      <c r="I407" s="47">
        <f>SUM(I403:I406)</f>
        <v>192725.90000000002</v>
      </c>
      <c r="J407" s="49" t="s">
        <v>289</v>
      </c>
      <c r="K407" s="49" t="s">
        <v>289</v>
      </c>
      <c r="L407" s="47">
        <f>SUM(L403:L406)</f>
        <v>274819.38000000006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86996.549999999988</v>
      </c>
      <c r="I408" s="47">
        <f>I393+I401+I407</f>
        <v>212747.49000000002</v>
      </c>
      <c r="J408" s="24" t="s">
        <v>289</v>
      </c>
      <c r="K408" s="24" t="s">
        <v>289</v>
      </c>
      <c r="L408" s="47">
        <f>L393+L401+L407</f>
        <v>299744.04000000004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f>1500+500</f>
        <v>2000</v>
      </c>
      <c r="I426" s="18"/>
      <c r="J426" s="18"/>
      <c r="K426" s="18">
        <v>24500</v>
      </c>
      <c r="L426" s="56">
        <f t="shared" si="29"/>
        <v>26500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2000</v>
      </c>
      <c r="I427" s="47">
        <f t="shared" si="30"/>
        <v>0</v>
      </c>
      <c r="J427" s="47">
        <f t="shared" si="30"/>
        <v>0</v>
      </c>
      <c r="K427" s="47">
        <f t="shared" si="30"/>
        <v>24500</v>
      </c>
      <c r="L427" s="47">
        <f t="shared" si="30"/>
        <v>26500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911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f>-250+4500+1000+275</f>
        <v>5525</v>
      </c>
      <c r="I429" s="18">
        <v>230</v>
      </c>
      <c r="J429" s="18"/>
      <c r="K429" s="18"/>
      <c r="L429" s="56">
        <f>SUM(F429:K429)</f>
        <v>5755</v>
      </c>
      <c r="M429" s="68"/>
      <c r="N429" s="227"/>
    </row>
    <row r="430" spans="1:21" s="58" customFormat="1" ht="12" customHeight="1" x14ac:dyDescent="0.15">
      <c r="A430" s="110" t="s">
        <v>912</v>
      </c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>
        <f>370+1348.7+724.75+215+2945+893.5</f>
        <v>6496.95</v>
      </c>
      <c r="J430" s="18"/>
      <c r="K430" s="18">
        <f>9500+3800+30000</f>
        <v>43300</v>
      </c>
      <c r="L430" s="56">
        <f>SUM(F430:K430)</f>
        <v>49796.95</v>
      </c>
      <c r="M430" s="68"/>
      <c r="N430" s="227"/>
    </row>
    <row r="431" spans="1:21" ht="12" customHeight="1" x14ac:dyDescent="0.2">
      <c r="A431" s="110" t="s">
        <v>913</v>
      </c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>
        <f>1300+750</f>
        <v>2050</v>
      </c>
      <c r="J431" s="18"/>
      <c r="K431" s="18">
        <v>5000</v>
      </c>
      <c r="L431" s="56">
        <f>SUM(F431:K431)</f>
        <v>7050</v>
      </c>
      <c r="N431" s="270"/>
    </row>
    <row r="432" spans="1:21" s="3" customFormat="1" ht="12" customHeight="1" thickBot="1" x14ac:dyDescent="0.2">
      <c r="A432" s="110" t="s">
        <v>311</v>
      </c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5525</v>
      </c>
      <c r="I433" s="47">
        <f t="shared" si="31"/>
        <v>8776.9500000000007</v>
      </c>
      <c r="J433" s="47">
        <f t="shared" si="31"/>
        <v>0</v>
      </c>
      <c r="K433" s="47">
        <f t="shared" si="31"/>
        <v>48300</v>
      </c>
      <c r="L433" s="47">
        <f t="shared" si="31"/>
        <v>62601.95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7525</v>
      </c>
      <c r="I434" s="47">
        <f t="shared" si="32"/>
        <v>8776.9500000000007</v>
      </c>
      <c r="J434" s="47">
        <f t="shared" si="32"/>
        <v>0</v>
      </c>
      <c r="K434" s="47">
        <f t="shared" si="32"/>
        <v>72800</v>
      </c>
      <c r="L434" s="47">
        <f t="shared" si="32"/>
        <v>89101.95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f>67112.23+1504.93+1944.51+332.29+1386.4+6346.78+82413.59</f>
        <v>161040.72999999998</v>
      </c>
      <c r="H442" s="18">
        <v>3051666.51</v>
      </c>
      <c r="I442" s="56">
        <f t="shared" si="33"/>
        <v>3212707.2399999998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161040.72999999998</v>
      </c>
      <c r="H446" s="13">
        <f>SUM(H439:H445)</f>
        <v>3051666.51</v>
      </c>
      <c r="I446" s="13">
        <f>SUM(I439:I445)</f>
        <v>3212707.2399999998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82413.59</v>
      </c>
      <c r="H456" s="18"/>
      <c r="I456" s="56">
        <f t="shared" si="34"/>
        <v>82413.59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f>67192.11+1221.34+1578.1+320.35+1336.54+6631.11</f>
        <v>78279.55</v>
      </c>
      <c r="H457" s="18">
        <v>2877624.96</v>
      </c>
      <c r="I457" s="56">
        <f t="shared" si="34"/>
        <v>2955904.51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>
        <f>-79.88+283.59+366.41+11.94+49.86-284.33</f>
        <v>347.59000000000009</v>
      </c>
      <c r="H458" s="18">
        <v>174041.55</v>
      </c>
      <c r="I458" s="56">
        <f t="shared" si="34"/>
        <v>174389.13999999998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161040.73000000001</v>
      </c>
      <c r="H460" s="83">
        <f>SUM(H454:H459)</f>
        <v>3051666.51</v>
      </c>
      <c r="I460" s="83">
        <f>SUM(I454:I459)</f>
        <v>3212707.2399999998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161040.73000000001</v>
      </c>
      <c r="H461" s="42">
        <f>H452+H460</f>
        <v>3051666.51</v>
      </c>
      <c r="I461" s="42">
        <f>I452+I460</f>
        <v>3212707.2399999998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1279512.69</v>
      </c>
      <c r="G465" s="18">
        <v>70929.710000000006</v>
      </c>
      <c r="H465" s="18">
        <f>60670.55+18733.59+160</f>
        <v>79564.14</v>
      </c>
      <c r="I465" s="18">
        <v>344615.35</v>
      </c>
      <c r="J465" s="18">
        <v>3002065.15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34569158.270000003</v>
      </c>
      <c r="G468" s="18">
        <f>733967.17+66478.57</f>
        <v>800445.74</v>
      </c>
      <c r="H468" s="18">
        <f>1151816.55+63929</f>
        <v>1215745.55</v>
      </c>
      <c r="I468" s="18">
        <v>0</v>
      </c>
      <c r="J468" s="18">
        <v>299744.03999999998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f>40.47</f>
        <v>40.47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34569158.270000003</v>
      </c>
      <c r="G470" s="53">
        <f>SUM(G468:G469)</f>
        <v>800486.21</v>
      </c>
      <c r="H470" s="53">
        <f>SUM(H468:H469)</f>
        <v>1215745.55</v>
      </c>
      <c r="I470" s="53">
        <f>SUM(I468:I469)</f>
        <v>0</v>
      </c>
      <c r="J470" s="53">
        <f>SUM(J468:J469)</f>
        <v>299744.03999999998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34475518.91-110632.74+373614.04-4563.09</f>
        <v>34733937.11999999</v>
      </c>
      <c r="G472" s="18">
        <f>800445.74</f>
        <v>800445.74</v>
      </c>
      <c r="H472" s="18">
        <f>1172411.31+72983.83</f>
        <v>1245395.1400000001</v>
      </c>
      <c r="I472" s="18">
        <v>251294.76</v>
      </c>
      <c r="J472" s="18">
        <v>89101.95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12</v>
      </c>
      <c r="H473" s="18">
        <v>160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34733937.11999999</v>
      </c>
      <c r="G474" s="53">
        <f>SUM(G472:G473)</f>
        <v>800457.74</v>
      </c>
      <c r="H474" s="53">
        <f>SUM(H472:H473)</f>
        <v>1245555.1400000001</v>
      </c>
      <c r="I474" s="53">
        <f>SUM(I472:I473)</f>
        <v>251294.76</v>
      </c>
      <c r="J474" s="53">
        <f>SUM(J472:J473)</f>
        <v>89101.95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1114733.840000011</v>
      </c>
      <c r="G476" s="53">
        <f>(G465+G470)- G474</f>
        <v>70958.179999999935</v>
      </c>
      <c r="H476" s="53">
        <f>(H465+H470)- H474</f>
        <v>49754.549999999814</v>
      </c>
      <c r="I476" s="53">
        <f>(I465+I470)- I474</f>
        <v>93320.589999999967</v>
      </c>
      <c r="J476" s="53">
        <f>(J465+J470)- J474</f>
        <v>3212707.2399999998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934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5</v>
      </c>
      <c r="G490" s="154">
        <v>20</v>
      </c>
      <c r="H490" s="154">
        <v>10</v>
      </c>
      <c r="I490" s="154">
        <v>20</v>
      </c>
      <c r="J490" s="154">
        <v>5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924</v>
      </c>
      <c r="G491" s="155" t="s">
        <v>925</v>
      </c>
      <c r="H491" s="155" t="s">
        <v>926</v>
      </c>
      <c r="I491" s="155" t="s">
        <v>927</v>
      </c>
      <c r="J491" s="155" t="s">
        <v>932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928</v>
      </c>
      <c r="G492" s="155" t="s">
        <v>929</v>
      </c>
      <c r="H492" s="155" t="s">
        <v>930</v>
      </c>
      <c r="I492" s="155" t="s">
        <v>931</v>
      </c>
      <c r="J492" s="155" t="s">
        <v>933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438009</v>
      </c>
      <c r="G493" s="18">
        <v>10895000</v>
      </c>
      <c r="H493" s="18">
        <v>1404300</v>
      </c>
      <c r="I493" s="18">
        <v>4393500</v>
      </c>
      <c r="J493" s="18">
        <v>56710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2.56</v>
      </c>
      <c r="G494" s="18">
        <v>5.58</v>
      </c>
      <c r="H494" s="18">
        <v>5.0999999999999996</v>
      </c>
      <c r="I494" s="18">
        <v>4.43</v>
      </c>
      <c r="J494" s="18">
        <v>3.79</v>
      </c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161974.16</v>
      </c>
      <c r="G495" s="18">
        <v>3265000</v>
      </c>
      <c r="H495" s="18">
        <v>1404300</v>
      </c>
      <c r="I495" s="18">
        <v>3075000</v>
      </c>
      <c r="J495" s="18">
        <v>56710</v>
      </c>
      <c r="K495" s="53">
        <f>SUM(F495:J495)</f>
        <v>7962984.1600000001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96770.44</v>
      </c>
      <c r="G497" s="18">
        <v>545000</v>
      </c>
      <c r="H497" s="18">
        <v>144300</v>
      </c>
      <c r="I497" s="18">
        <v>220000</v>
      </c>
      <c r="J497" s="18">
        <v>12000</v>
      </c>
      <c r="K497" s="53">
        <f t="shared" si="35"/>
        <v>1018070.44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65203.72</v>
      </c>
      <c r="G498" s="204">
        <v>2720000</v>
      </c>
      <c r="H498" s="204">
        <v>1260000</v>
      </c>
      <c r="I498" s="204">
        <v>2855000</v>
      </c>
      <c r="J498" s="204">
        <v>44710</v>
      </c>
      <c r="K498" s="205">
        <f t="shared" si="35"/>
        <v>6944913.7200000007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1669.22</v>
      </c>
      <c r="G499" s="18">
        <v>464537.52</v>
      </c>
      <c r="H499" s="18">
        <v>304220</v>
      </c>
      <c r="I499" s="18">
        <v>858181.74</v>
      </c>
      <c r="J499" s="18">
        <v>4315.04</v>
      </c>
      <c r="K499" s="53">
        <f t="shared" si="35"/>
        <v>1632923.52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66872.94</v>
      </c>
      <c r="G500" s="42">
        <f>SUM(G498:G499)</f>
        <v>3184537.52</v>
      </c>
      <c r="H500" s="42">
        <f>SUM(H498:H499)</f>
        <v>1564220</v>
      </c>
      <c r="I500" s="42">
        <f>SUM(I498:I499)</f>
        <v>3713181.74</v>
      </c>
      <c r="J500" s="42">
        <f>SUM(J498:J499)</f>
        <v>49025.04</v>
      </c>
      <c r="K500" s="42">
        <f t="shared" si="35"/>
        <v>8577837.2399999984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65203.72</v>
      </c>
      <c r="G501" s="204">
        <v>545000</v>
      </c>
      <c r="H501" s="204">
        <v>140000</v>
      </c>
      <c r="I501" s="204">
        <v>220000</v>
      </c>
      <c r="J501" s="204">
        <v>10561.75</v>
      </c>
      <c r="K501" s="205">
        <f t="shared" si="35"/>
        <v>980765.47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1669.22</v>
      </c>
      <c r="G502" s="18">
        <v>154356.26</v>
      </c>
      <c r="H502" s="18">
        <v>64190</v>
      </c>
      <c r="I502" s="18">
        <v>126006.26</v>
      </c>
      <c r="J502" s="18">
        <v>1694.51</v>
      </c>
      <c r="K502" s="53">
        <f t="shared" si="35"/>
        <v>347916.25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66872.94</v>
      </c>
      <c r="G503" s="42">
        <f>SUM(G501:G502)</f>
        <v>699356.26</v>
      </c>
      <c r="H503" s="42">
        <f>SUM(H501:H502)</f>
        <v>204190</v>
      </c>
      <c r="I503" s="42">
        <f>SUM(I501:I502)</f>
        <v>346006.26</v>
      </c>
      <c r="J503" s="42">
        <f>SUM(J501:J502)</f>
        <v>12256.26</v>
      </c>
      <c r="K503" s="42">
        <f t="shared" si="35"/>
        <v>1328681.72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924275.8</v>
      </c>
      <c r="G507" s="144">
        <v>44376.34</v>
      </c>
      <c r="H507" s="144"/>
      <c r="I507" s="144">
        <f>F507+G507</f>
        <v>968652.14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1523910.26+10987.88</f>
        <v>1534898.14</v>
      </c>
      <c r="G521" s="18">
        <f>637923.03+8261.36</f>
        <v>646184.39</v>
      </c>
      <c r="H521" s="18">
        <f>101763.07</f>
        <v>101763.07</v>
      </c>
      <c r="I521" s="18">
        <f>8019.8+1058.43-337.66</f>
        <v>8740.57</v>
      </c>
      <c r="J521" s="18">
        <f>15216.95-10808.8</f>
        <v>4408.1500000000015</v>
      </c>
      <c r="K521" s="18"/>
      <c r="L521" s="88">
        <f>SUM(F521:K521)</f>
        <v>2295994.3199999994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950937.29+24380.34</f>
        <v>975317.63</v>
      </c>
      <c r="G522" s="18">
        <f>394724.74+12705.13</f>
        <v>407429.87</v>
      </c>
      <c r="H522" s="18">
        <f>100427.56</f>
        <v>100427.56</v>
      </c>
      <c r="I522" s="18">
        <f>33632.61+115.68</f>
        <v>33748.29</v>
      </c>
      <c r="J522" s="18">
        <f>2930.19</f>
        <v>2930.19</v>
      </c>
      <c r="K522" s="18"/>
      <c r="L522" s="88">
        <f>SUM(F522:K522)</f>
        <v>1519853.54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972584.32+111609.19</f>
        <v>1084193.51</v>
      </c>
      <c r="G523" s="18">
        <f>425188.54+49357.98</f>
        <v>474546.51999999996</v>
      </c>
      <c r="H523" s="18">
        <f>102424.9</f>
        <v>102424.9</v>
      </c>
      <c r="I523" s="18">
        <f>3777.42+53.39</f>
        <v>3830.81</v>
      </c>
      <c r="J523" s="18">
        <f>58398.88</f>
        <v>58398.879999999997</v>
      </c>
      <c r="K523" s="18"/>
      <c r="L523" s="88">
        <f>SUM(F523:K523)</f>
        <v>1723394.6199999999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3594409.2800000003</v>
      </c>
      <c r="G524" s="108">
        <f t="shared" ref="G524:L524" si="36">SUM(G521:G523)</f>
        <v>1528160.78</v>
      </c>
      <c r="H524" s="108">
        <f t="shared" si="36"/>
        <v>304615.53000000003</v>
      </c>
      <c r="I524" s="108">
        <f t="shared" si="36"/>
        <v>46319.67</v>
      </c>
      <c r="J524" s="108">
        <f t="shared" si="36"/>
        <v>65737.22</v>
      </c>
      <c r="K524" s="108">
        <f t="shared" si="36"/>
        <v>0</v>
      </c>
      <c r="L524" s="89">
        <f t="shared" si="36"/>
        <v>5539242.4799999995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281156.69+58077.76+28609.81+157197.8+92382.19</f>
        <v>617424.25</v>
      </c>
      <c r="G526" s="18">
        <f>229591.18+37747.04</f>
        <v>267338.21999999997</v>
      </c>
      <c r="H526" s="18">
        <f>1820.41+65+129.21</f>
        <v>2014.6200000000001</v>
      </c>
      <c r="I526" s="18">
        <f>194.03+2099.67+292.91+597.97+1130.82</f>
        <v>4315.3999999999996</v>
      </c>
      <c r="J526" s="18">
        <f>1135.68</f>
        <v>1135.68</v>
      </c>
      <c r="K526" s="18"/>
      <c r="L526" s="88">
        <f>SUM(F526:K526)</f>
        <v>892228.17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77858.78+16083.07+5859.84+13973.14+90182.62</f>
        <v>203957.45</v>
      </c>
      <c r="G527" s="18">
        <f>55220.85+36848.3</f>
        <v>92069.15</v>
      </c>
      <c r="H527" s="18">
        <f>1777.08+18+11.49</f>
        <v>1806.57</v>
      </c>
      <c r="I527" s="18">
        <f>189.42+2049.67+81.12+53.15+265.25</f>
        <v>2638.61</v>
      </c>
      <c r="J527" s="18">
        <f>314.5</f>
        <v>314.5</v>
      </c>
      <c r="K527" s="18"/>
      <c r="L527" s="88">
        <f>SUM(F527:K527)</f>
        <v>300786.27999999997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73533.29+15189.57+3493.28+37392.79</f>
        <v>129608.93</v>
      </c>
      <c r="G528" s="18">
        <f>44065.64+15278.56</f>
        <v>59344.2</v>
      </c>
      <c r="H528" s="18">
        <f>736.84+17+2.87</f>
        <v>756.71</v>
      </c>
      <c r="I528" s="18">
        <f>78.54+849.86+76.61+13.29</f>
        <v>1018.3</v>
      </c>
      <c r="J528" s="18">
        <f>297.02</f>
        <v>297.02</v>
      </c>
      <c r="K528" s="18"/>
      <c r="L528" s="88">
        <f>SUM(F528:K528)</f>
        <v>191025.15999999997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950990.62999999989</v>
      </c>
      <c r="G529" s="89">
        <f t="shared" ref="G529:L529" si="37">SUM(G526:G528)</f>
        <v>418751.57</v>
      </c>
      <c r="H529" s="89">
        <f t="shared" si="37"/>
        <v>4577.8999999999996</v>
      </c>
      <c r="I529" s="89">
        <f t="shared" si="37"/>
        <v>7972.31</v>
      </c>
      <c r="J529" s="89">
        <f t="shared" si="37"/>
        <v>1747.2</v>
      </c>
      <c r="K529" s="89">
        <f t="shared" si="37"/>
        <v>0</v>
      </c>
      <c r="L529" s="89">
        <f t="shared" si="37"/>
        <v>1384039.6099999999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87032.35+38005.24</f>
        <v>125037.59</v>
      </c>
      <c r="G531" s="18">
        <v>66716.960000000006</v>
      </c>
      <c r="H531" s="18">
        <f>1771.78</f>
        <v>1771.78</v>
      </c>
      <c r="I531" s="18">
        <f>50.7+1170.09</f>
        <v>1220.79</v>
      </c>
      <c r="J531" s="18">
        <v>-12.57</v>
      </c>
      <c r="K531" s="18">
        <v>502.43</v>
      </c>
      <c r="L531" s="88">
        <f>SUM(F531:K531)</f>
        <v>195236.97999999998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56406.28+24631.46</f>
        <v>81037.739999999991</v>
      </c>
      <c r="G532" s="18">
        <v>39748.99</v>
      </c>
      <c r="H532" s="18">
        <f>1148.3</f>
        <v>1148.3</v>
      </c>
      <c r="I532" s="18">
        <f>35.75+758.34</f>
        <v>794.09</v>
      </c>
      <c r="J532" s="18">
        <v>-8.15</v>
      </c>
      <c r="K532" s="18">
        <v>325.63</v>
      </c>
      <c r="L532" s="88">
        <f>SUM(F532:K532)</f>
        <v>123046.59999999999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50397.36+22007.49</f>
        <v>72404.850000000006</v>
      </c>
      <c r="G533" s="18">
        <v>40452.49</v>
      </c>
      <c r="H533" s="18">
        <f>1025.98</f>
        <v>1025.98</v>
      </c>
      <c r="I533" s="18">
        <f>43.55+677.56</f>
        <v>721.1099999999999</v>
      </c>
      <c r="J533" s="18">
        <v>-7.28</v>
      </c>
      <c r="K533" s="18">
        <v>290.94</v>
      </c>
      <c r="L533" s="88">
        <f>SUM(F533:K533)</f>
        <v>114888.09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278480.18</v>
      </c>
      <c r="G534" s="89">
        <f t="shared" ref="G534:L534" si="38">SUM(G531:G533)</f>
        <v>146918.44</v>
      </c>
      <c r="H534" s="89">
        <f t="shared" si="38"/>
        <v>3946.06</v>
      </c>
      <c r="I534" s="89">
        <f t="shared" si="38"/>
        <v>2735.99</v>
      </c>
      <c r="J534" s="89">
        <f t="shared" si="38"/>
        <v>-28</v>
      </c>
      <c r="K534" s="89">
        <f t="shared" si="38"/>
        <v>1119</v>
      </c>
      <c r="L534" s="89">
        <f t="shared" si="38"/>
        <v>433171.66999999993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4702.84</v>
      </c>
      <c r="I536" s="18"/>
      <c r="J536" s="18"/>
      <c r="K536" s="18"/>
      <c r="L536" s="88">
        <f>SUM(F536:K536)</f>
        <v>4702.84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3316.11</v>
      </c>
      <c r="I537" s="18"/>
      <c r="J537" s="18"/>
      <c r="K537" s="18"/>
      <c r="L537" s="88">
        <f>SUM(F537:K537)</f>
        <v>3316.11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4039.62</v>
      </c>
      <c r="I538" s="18"/>
      <c r="J538" s="18"/>
      <c r="K538" s="18"/>
      <c r="L538" s="88">
        <f>SUM(F538:K538)</f>
        <v>4039.62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12058.57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12058.57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129044.05</v>
      </c>
      <c r="I541" s="18"/>
      <c r="J541" s="18"/>
      <c r="K541" s="18"/>
      <c r="L541" s="88">
        <f>SUM(F541:K541)</f>
        <v>129044.05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93822.73</v>
      </c>
      <c r="I542" s="18"/>
      <c r="J542" s="18"/>
      <c r="K542" s="18"/>
      <c r="L542" s="88">
        <f>SUM(F542:K542)</f>
        <v>93822.73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43283.01</v>
      </c>
      <c r="I543" s="18"/>
      <c r="J543" s="18"/>
      <c r="K543" s="18"/>
      <c r="L543" s="88">
        <f>SUM(F543:K543)</f>
        <v>43283.01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266149.78999999998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266149.78999999998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4823880.09</v>
      </c>
      <c r="G545" s="89">
        <f t="shared" ref="G545:L545" si="41">G524+G529+G534+G539+G544</f>
        <v>2093830.79</v>
      </c>
      <c r="H545" s="89">
        <f t="shared" si="41"/>
        <v>591347.85000000009</v>
      </c>
      <c r="I545" s="89">
        <f t="shared" si="41"/>
        <v>57027.969999999994</v>
      </c>
      <c r="J545" s="89">
        <f t="shared" si="41"/>
        <v>67456.42</v>
      </c>
      <c r="K545" s="89">
        <f t="shared" si="41"/>
        <v>1119</v>
      </c>
      <c r="L545" s="89">
        <f t="shared" si="41"/>
        <v>7634662.1200000001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2295994.3199999994</v>
      </c>
      <c r="G549" s="87">
        <f>L526</f>
        <v>892228.17</v>
      </c>
      <c r="H549" s="87">
        <f>L531</f>
        <v>195236.97999999998</v>
      </c>
      <c r="I549" s="87">
        <f>L536</f>
        <v>4702.84</v>
      </c>
      <c r="J549" s="87">
        <f>L541</f>
        <v>129044.05</v>
      </c>
      <c r="K549" s="87">
        <f>SUM(F549:J549)</f>
        <v>3517206.3599999989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1519853.54</v>
      </c>
      <c r="G550" s="87">
        <f>L527</f>
        <v>300786.27999999997</v>
      </c>
      <c r="H550" s="87">
        <f>L532</f>
        <v>123046.59999999999</v>
      </c>
      <c r="I550" s="87">
        <f>L537</f>
        <v>3316.11</v>
      </c>
      <c r="J550" s="87">
        <f>L542</f>
        <v>93822.73</v>
      </c>
      <c r="K550" s="87">
        <f>SUM(F550:J550)</f>
        <v>2040825.2600000002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1723394.6199999999</v>
      </c>
      <c r="G551" s="87">
        <f>L528</f>
        <v>191025.15999999997</v>
      </c>
      <c r="H551" s="87">
        <f>L533</f>
        <v>114888.09</v>
      </c>
      <c r="I551" s="87">
        <f>L538</f>
        <v>4039.62</v>
      </c>
      <c r="J551" s="87">
        <f>L543</f>
        <v>43283.01</v>
      </c>
      <c r="K551" s="87">
        <f>SUM(F551:J551)</f>
        <v>2076630.5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5539242.4799999995</v>
      </c>
      <c r="G552" s="89">
        <f t="shared" si="42"/>
        <v>1384039.6099999999</v>
      </c>
      <c r="H552" s="89">
        <f t="shared" si="42"/>
        <v>433171.66999999993</v>
      </c>
      <c r="I552" s="89">
        <f t="shared" si="42"/>
        <v>12058.57</v>
      </c>
      <c r="J552" s="89">
        <f t="shared" si="42"/>
        <v>266149.78999999998</v>
      </c>
      <c r="K552" s="89">
        <f t="shared" si="42"/>
        <v>7634662.1199999992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17516.23+16133+256439.22</f>
        <v>290088.45</v>
      </c>
      <c r="G557" s="18">
        <f>2236.01+0.02+40554.98</f>
        <v>42791.01</v>
      </c>
      <c r="H557" s="18">
        <f>40+233.65+1735+4087.71</f>
        <v>6096.3600000000006</v>
      </c>
      <c r="I557" s="18">
        <f>2958.43+10200.64</f>
        <v>13159.07</v>
      </c>
      <c r="J557" s="18">
        <f>10808.8+888.73</f>
        <v>11697.529999999999</v>
      </c>
      <c r="K557" s="18"/>
      <c r="L557" s="88">
        <f>SUM(F557:K557)</f>
        <v>363832.42000000004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290088.45</v>
      </c>
      <c r="G560" s="108">
        <f t="shared" si="43"/>
        <v>42791.01</v>
      </c>
      <c r="H560" s="108">
        <f t="shared" si="43"/>
        <v>6096.3600000000006</v>
      </c>
      <c r="I560" s="108">
        <f t="shared" si="43"/>
        <v>13159.07</v>
      </c>
      <c r="J560" s="108">
        <f t="shared" si="43"/>
        <v>11697.529999999999</v>
      </c>
      <c r="K560" s="108">
        <f t="shared" si="43"/>
        <v>0</v>
      </c>
      <c r="L560" s="89">
        <f t="shared" si="43"/>
        <v>363832.42000000004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31753.48</v>
      </c>
      <c r="G562" s="18">
        <v>13617.93</v>
      </c>
      <c r="H562" s="18"/>
      <c r="I562" s="18">
        <f>347.04+148.24</f>
        <v>495.28000000000003</v>
      </c>
      <c r="J562" s="18">
        <v>418.06</v>
      </c>
      <c r="K562" s="18"/>
      <c r="L562" s="88">
        <f>SUM(F562:K562)</f>
        <v>46284.75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22390.27</v>
      </c>
      <c r="G563" s="18">
        <v>9602.3799999999992</v>
      </c>
      <c r="H563" s="18"/>
      <c r="I563" s="18">
        <v>244.71</v>
      </c>
      <c r="J563" s="18"/>
      <c r="K563" s="18"/>
      <c r="L563" s="88">
        <f>SUM(F563:K563)</f>
        <v>32237.360000000001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27275.42</v>
      </c>
      <c r="G564" s="18">
        <v>11697.45</v>
      </c>
      <c r="H564" s="18"/>
      <c r="I564" s="18">
        <v>298.08999999999997</v>
      </c>
      <c r="J564" s="18"/>
      <c r="K564" s="18"/>
      <c r="L564" s="88">
        <f>SUM(F564:K564)</f>
        <v>39270.959999999992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81419.17</v>
      </c>
      <c r="G565" s="89">
        <f t="shared" si="44"/>
        <v>34917.759999999995</v>
      </c>
      <c r="H565" s="89">
        <f t="shared" si="44"/>
        <v>0</v>
      </c>
      <c r="I565" s="89">
        <f t="shared" si="44"/>
        <v>1038.08</v>
      </c>
      <c r="J565" s="89">
        <f t="shared" si="44"/>
        <v>418.06</v>
      </c>
      <c r="K565" s="89">
        <f t="shared" si="44"/>
        <v>0</v>
      </c>
      <c r="L565" s="89">
        <f t="shared" si="44"/>
        <v>117793.06999999999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74964</v>
      </c>
      <c r="G567" s="18">
        <v>37374.800000000003</v>
      </c>
      <c r="H567" s="18"/>
      <c r="I567" s="18">
        <v>469.7</v>
      </c>
      <c r="J567" s="18"/>
      <c r="K567" s="18">
        <v>260.75</v>
      </c>
      <c r="L567" s="88">
        <f>SUM(F567:K567)</f>
        <v>113069.25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1800</v>
      </c>
      <c r="G568" s="18">
        <v>392.58</v>
      </c>
      <c r="H568" s="18"/>
      <c r="I568" s="18">
        <v>5000</v>
      </c>
      <c r="J568" s="18"/>
      <c r="K568" s="18">
        <v>760</v>
      </c>
      <c r="L568" s="88">
        <f>SUM(F568:K568)</f>
        <v>7952.58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76764</v>
      </c>
      <c r="G570" s="193">
        <f t="shared" ref="G570:L570" si="45">SUM(G567:G569)</f>
        <v>37767.380000000005</v>
      </c>
      <c r="H570" s="193">
        <f t="shared" si="45"/>
        <v>0</v>
      </c>
      <c r="I570" s="193">
        <f t="shared" si="45"/>
        <v>5469.7</v>
      </c>
      <c r="J570" s="193">
        <f t="shared" si="45"/>
        <v>0</v>
      </c>
      <c r="K570" s="193">
        <f t="shared" si="45"/>
        <v>1020.75</v>
      </c>
      <c r="L570" s="193">
        <f t="shared" si="45"/>
        <v>121021.83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448271.62</v>
      </c>
      <c r="G571" s="89">
        <f t="shared" ref="G571:L571" si="46">G560+G565+G570</f>
        <v>115476.15</v>
      </c>
      <c r="H571" s="89">
        <f t="shared" si="46"/>
        <v>6096.3600000000006</v>
      </c>
      <c r="I571" s="89">
        <f t="shared" si="46"/>
        <v>19666.849999999999</v>
      </c>
      <c r="J571" s="89">
        <f t="shared" si="46"/>
        <v>12115.589999999998</v>
      </c>
      <c r="K571" s="89">
        <f t="shared" si="46"/>
        <v>1020.75</v>
      </c>
      <c r="L571" s="89">
        <f t="shared" si="46"/>
        <v>602647.32000000007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48382.4</f>
        <v>48382.400000000001</v>
      </c>
      <c r="G582" s="18">
        <f>69558.26-5023.24</f>
        <v>64535.02</v>
      </c>
      <c r="H582" s="18">
        <f>64719.06-582+3082.09</f>
        <v>67219.149999999994</v>
      </c>
      <c r="I582" s="87">
        <f t="shared" si="47"/>
        <v>180136.57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7137.34-3568.67+4326.48</f>
        <v>7895.15</v>
      </c>
      <c r="I584" s="87">
        <f t="shared" si="47"/>
        <v>7895.15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330402.62+1475.6</f>
        <v>331878.21999999997</v>
      </c>
      <c r="I591" s="18">
        <f>194701.54+869.55</f>
        <v>195571.09</v>
      </c>
      <c r="J591" s="18">
        <f>64900.51+289.85</f>
        <v>65190.36</v>
      </c>
      <c r="K591" s="104">
        <f t="shared" ref="K591:K597" si="48">SUM(H591:J591)</f>
        <v>592639.66999999993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129044.05</v>
      </c>
      <c r="I592" s="18">
        <f>93822.73+2849.66</f>
        <v>96672.39</v>
      </c>
      <c r="J592" s="18">
        <f>43283.01+2619.09</f>
        <v>45902.100000000006</v>
      </c>
      <c r="K592" s="104">
        <f t="shared" si="48"/>
        <v>271618.54000000004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5493.25+6699.5</f>
        <v>12192.75</v>
      </c>
      <c r="K593" s="104">
        <f t="shared" si="48"/>
        <v>12192.75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18748.59+393.15</f>
        <v>19141.740000000002</v>
      </c>
      <c r="J594" s="18">
        <v>70953.850000000006</v>
      </c>
      <c r="K594" s="104">
        <f t="shared" si="48"/>
        <v>90095.590000000011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460922.26999999996</v>
      </c>
      <c r="I598" s="108">
        <f>SUM(I591:I597)</f>
        <v>311385.21999999997</v>
      </c>
      <c r="J598" s="108">
        <f>SUM(J591:J597)</f>
        <v>194239.06</v>
      </c>
      <c r="K598" s="108">
        <f>SUM(K591:K597)</f>
        <v>966546.54999999993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82115.95+16105.68</f>
        <v>98221.63</v>
      </c>
      <c r="I604" s="18">
        <f>23135.69+5929.19</f>
        <v>29064.879999999997</v>
      </c>
      <c r="J604" s="18">
        <f>74861.48+74775.88</f>
        <v>149637.35999999999</v>
      </c>
      <c r="K604" s="104">
        <f>SUM(H604:J604)</f>
        <v>276923.87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98221.63</v>
      </c>
      <c r="I605" s="108">
        <f>SUM(I602:I604)</f>
        <v>29064.879999999997</v>
      </c>
      <c r="J605" s="108">
        <f>SUM(J602:J604)</f>
        <v>149637.35999999999</v>
      </c>
      <c r="K605" s="108">
        <f>SUM(K602:K604)</f>
        <v>276923.87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28291.7+5122+5200+2250+2175</f>
        <v>43038.7</v>
      </c>
      <c r="G611" s="18">
        <f>(28291.7*0.2181)+59.74+59.22+563.99+564.24+375.52+80.78</f>
        <v>7873.9097699999993</v>
      </c>
      <c r="H611" s="18"/>
      <c r="I611" s="18">
        <v>3514.73</v>
      </c>
      <c r="J611" s="18"/>
      <c r="K611" s="18"/>
      <c r="L611" s="88">
        <f>SUM(F611:K611)</f>
        <v>54427.339769999999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>
        <f>5680*1.2181</f>
        <v>6918.808</v>
      </c>
      <c r="J612" s="18"/>
      <c r="K612" s="18"/>
      <c r="L612" s="88">
        <f>SUM(F612:K612)</f>
        <v>6918.808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>
        <f>7800*1.2181</f>
        <v>9501.18</v>
      </c>
      <c r="J613" s="18"/>
      <c r="K613" s="18"/>
      <c r="L613" s="88">
        <f>SUM(F613:K613)</f>
        <v>9501.18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43038.7</v>
      </c>
      <c r="G614" s="108">
        <f t="shared" si="49"/>
        <v>7873.9097699999993</v>
      </c>
      <c r="H614" s="108">
        <f t="shared" si="49"/>
        <v>0</v>
      </c>
      <c r="I614" s="108">
        <f t="shared" si="49"/>
        <v>19934.718000000001</v>
      </c>
      <c r="J614" s="108">
        <f t="shared" si="49"/>
        <v>0</v>
      </c>
      <c r="K614" s="108">
        <f t="shared" si="49"/>
        <v>0</v>
      </c>
      <c r="L614" s="89">
        <f t="shared" si="49"/>
        <v>70847.327770000004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1269780.6799999997</v>
      </c>
      <c r="H617" s="109">
        <f>SUM(F52)</f>
        <v>1269780.68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70958.179999999993</v>
      </c>
      <c r="H618" s="109">
        <f>SUM(G52)</f>
        <v>70958.180000000008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198786.19</v>
      </c>
      <c r="H619" s="109">
        <f>SUM(H52)</f>
        <v>198786.19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93320.59</v>
      </c>
      <c r="H620" s="109">
        <f>SUM(I52)</f>
        <v>93320.589999999967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3212707.2399999998</v>
      </c>
      <c r="H621" s="109">
        <f>SUM(J52)</f>
        <v>3212707.2399999998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1114733.8399999999</v>
      </c>
      <c r="H622" s="109">
        <f>F476</f>
        <v>1114733.840000011</v>
      </c>
      <c r="I622" s="121" t="s">
        <v>101</v>
      </c>
      <c r="J622" s="109">
        <f t="shared" ref="J622:J655" si="50">G622-H622</f>
        <v>-1.1175870895385742E-8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70958.180000000008</v>
      </c>
      <c r="H623" s="109">
        <f>G476</f>
        <v>70958.179999999935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49754.55</v>
      </c>
      <c r="H624" s="109">
        <f>H476</f>
        <v>49754.549999999814</v>
      </c>
      <c r="I624" s="121" t="s">
        <v>103</v>
      </c>
      <c r="J624" s="109">
        <f t="shared" si="50"/>
        <v>1.8917489796876907E-10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93320.589999999967</v>
      </c>
      <c r="H625" s="109">
        <f>I476</f>
        <v>93320.589999999967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3212707.2399999998</v>
      </c>
      <c r="H626" s="109">
        <f>J476</f>
        <v>3212707.2399999998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34569158.270000003</v>
      </c>
      <c r="H627" s="104">
        <f>SUM(F468)</f>
        <v>34569158.270000003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800445.74</v>
      </c>
      <c r="H628" s="104">
        <f>SUM(G468)</f>
        <v>800445.74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1215745.55</v>
      </c>
      <c r="H629" s="104">
        <f>SUM(H468)</f>
        <v>1215745.55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299744.04000000004</v>
      </c>
      <c r="H631" s="104">
        <f>SUM(J468)</f>
        <v>299744.03999999998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34733937.119999997</v>
      </c>
      <c r="H632" s="104">
        <f>SUM(F472)</f>
        <v>34733937.11999999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1245395.1400000001</v>
      </c>
      <c r="H633" s="104">
        <f>SUM(H472)</f>
        <v>1245395.1400000001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375794.21</v>
      </c>
      <c r="H634" s="104">
        <f>I369</f>
        <v>375794.21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800445.74</v>
      </c>
      <c r="H635" s="104">
        <f>SUM(G472)</f>
        <v>800445.74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251294.76</v>
      </c>
      <c r="H636" s="104">
        <f>SUM(I472)</f>
        <v>251294.76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299744.04000000004</v>
      </c>
      <c r="H637" s="164">
        <f>SUM(J468)</f>
        <v>299744.03999999998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89101.95</v>
      </c>
      <c r="H638" s="164">
        <f>SUM(J472)</f>
        <v>89101.95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161040.72999999998</v>
      </c>
      <c r="H640" s="104">
        <f>SUM(G461)</f>
        <v>161040.73000000001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3051666.51</v>
      </c>
      <c r="H641" s="104">
        <f>SUM(H461)</f>
        <v>3051666.51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3212707.2399999998</v>
      </c>
      <c r="H642" s="104">
        <f>SUM(I461)</f>
        <v>3212707.2399999998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86996.55</v>
      </c>
      <c r="H644" s="104">
        <f>H408</f>
        <v>86996.549999999988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299744.04000000004</v>
      </c>
      <c r="H646" s="104">
        <f>L408</f>
        <v>299744.04000000004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966546.54999999993</v>
      </c>
      <c r="H647" s="104">
        <f>L208+L226+L244</f>
        <v>966546.55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276923.87</v>
      </c>
      <c r="H648" s="104">
        <f>(J257+J338)-(J255+J336)</f>
        <v>276923.87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460922.26999999996</v>
      </c>
      <c r="H649" s="104">
        <f>H598</f>
        <v>460922.26999999996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311385.21999999997</v>
      </c>
      <c r="H650" s="104">
        <f>I598</f>
        <v>311385.21999999997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194239.06</v>
      </c>
      <c r="H651" s="104">
        <f>J598</f>
        <v>194239.06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68277.27</v>
      </c>
      <c r="H652" s="104">
        <f>K263+K345</f>
        <v>68277.27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13287290.459999999</v>
      </c>
      <c r="G660" s="19">
        <f>(L229+L309+L359)</f>
        <v>9101420.7800000012</v>
      </c>
      <c r="H660" s="19">
        <f>(L247+L328+L360)</f>
        <v>12856446.469999997</v>
      </c>
      <c r="I660" s="19">
        <f>SUM(F660:H660)</f>
        <v>35245157.710000001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151258.91985991955</v>
      </c>
      <c r="G661" s="19">
        <f>(L359/IF(SUM(L358:L360)=0,1,SUM(L358:L360))*(SUM(G97:G110)))</f>
        <v>124967.22422715269</v>
      </c>
      <c r="H661" s="19">
        <f>(L360/IF(SUM(L358:L360)=0,1,SUM(L358:L360))*(SUM(G97:G110)))</f>
        <v>157033.4959129277</v>
      </c>
      <c r="I661" s="19">
        <f>SUM(F661:H661)</f>
        <v>433259.6399999999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464600.76999999996</v>
      </c>
      <c r="G662" s="19">
        <f>(L226+L306)-(J226+J306)</f>
        <v>311385.21999999997</v>
      </c>
      <c r="H662" s="19">
        <f>(L244+L325)-(J244+J325)</f>
        <v>200094.93</v>
      </c>
      <c r="I662" s="19">
        <f>SUM(F662:H662)</f>
        <v>976080.91999999993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201031.36976999999</v>
      </c>
      <c r="G663" s="199">
        <f>SUM(G575:G587)+SUM(I602:I604)+L612</f>
        <v>100518.708</v>
      </c>
      <c r="H663" s="199">
        <f>SUM(H575:H587)+SUM(J602:J604)+L613</f>
        <v>234252.83999999997</v>
      </c>
      <c r="I663" s="19">
        <f>SUM(F663:H663)</f>
        <v>535802.91776999994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12470399.40037008</v>
      </c>
      <c r="G664" s="19">
        <f>G660-SUM(G661:G663)</f>
        <v>8564549.6277728491</v>
      </c>
      <c r="H664" s="19">
        <f>H660-SUM(H661:H663)</f>
        <v>12265065.204087069</v>
      </c>
      <c r="I664" s="19">
        <f>I660-SUM(I661:I663)</f>
        <v>33300014.23223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932.18</v>
      </c>
      <c r="G665" s="248">
        <v>658.75</v>
      </c>
      <c r="H665" s="248">
        <v>802.09</v>
      </c>
      <c r="I665" s="19">
        <f>SUM(F665:H665)</f>
        <v>2393.02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13377.67</v>
      </c>
      <c r="G667" s="19">
        <f>ROUND(G664/G665,2)</f>
        <v>13001.21</v>
      </c>
      <c r="H667" s="19">
        <f>ROUND(H664/H665,2)</f>
        <v>15291.38</v>
      </c>
      <c r="I667" s="19">
        <f>ROUND(I664/I665,2)</f>
        <v>13915.48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6.9</v>
      </c>
      <c r="I670" s="19">
        <f>SUM(F670:H670)</f>
        <v>6.9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13377.67</v>
      </c>
      <c r="G672" s="19">
        <f>ROUND((G664+G669)/(G665+G670),2)</f>
        <v>13001.21</v>
      </c>
      <c r="H672" s="19">
        <f>ROUND((H664+H669)/(H665+H670),2)</f>
        <v>15160.96</v>
      </c>
      <c r="I672" s="19">
        <f>ROUND((I664+I669)/(I665+I670),2)</f>
        <v>13875.47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Normal="100" workbookViewId="0">
      <selection activeCell="A5" sqref="A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Milford School District SAU#40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9727043.2100000009</v>
      </c>
      <c r="C9" s="229">
        <f>'DOE25'!G197+'DOE25'!G215+'DOE25'!G233+'DOE25'!G276+'DOE25'!G295+'DOE25'!G314</f>
        <v>4760522.22</v>
      </c>
    </row>
    <row r="10" spans="1:3" x14ac:dyDescent="0.2">
      <c r="A10" t="s">
        <v>779</v>
      </c>
      <c r="B10" s="240">
        <f>9100768.99+3809</f>
        <v>9104577.9900000002</v>
      </c>
      <c r="C10" s="240">
        <f>C9-C11-C12</f>
        <v>4682051.3641419997</v>
      </c>
    </row>
    <row r="11" spans="1:3" x14ac:dyDescent="0.2">
      <c r="A11" t="s">
        <v>780</v>
      </c>
      <c r="B11" s="240">
        <v>454684.62</v>
      </c>
      <c r="C11" s="240">
        <f>(B11*(0.0765+0.0024))+28310.31+1048.04</f>
        <v>65232.966517999994</v>
      </c>
    </row>
    <row r="12" spans="1:3" x14ac:dyDescent="0.2">
      <c r="A12" t="s">
        <v>781</v>
      </c>
      <c r="B12" s="240">
        <v>167780.6</v>
      </c>
      <c r="C12" s="240">
        <f>(B12*(0.0765+0.0024))</f>
        <v>13237.88934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9727043.209999999</v>
      </c>
      <c r="C13" s="231">
        <f>SUM(C10:C12)</f>
        <v>4760522.22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3594409.64</v>
      </c>
      <c r="C18" s="229">
        <f>'DOE25'!G198+'DOE25'!G216+'DOE25'!G234+'DOE25'!G277+'DOE25'!G296+'DOE25'!G315</f>
        <v>1528160.78</v>
      </c>
    </row>
    <row r="19" spans="1:3" x14ac:dyDescent="0.2">
      <c r="A19" t="s">
        <v>779</v>
      </c>
      <c r="B19" s="240">
        <v>1877192.39</v>
      </c>
      <c r="C19" s="240">
        <f>C18-C20-C21</f>
        <v>443616.14897500002</v>
      </c>
    </row>
    <row r="20" spans="1:3" x14ac:dyDescent="0.2">
      <c r="A20" t="s">
        <v>780</v>
      </c>
      <c r="B20" s="240">
        <v>1629413.52</v>
      </c>
      <c r="C20" s="240">
        <f>(B20*(0.0765+0.0024))+117232.65+365040.78+245944.39+103524.28+48125.7</f>
        <v>1008428.526728</v>
      </c>
    </row>
    <row r="21" spans="1:3" x14ac:dyDescent="0.2">
      <c r="A21" t="s">
        <v>781</v>
      </c>
      <c r="B21" s="240">
        <v>87803.73</v>
      </c>
      <c r="C21" s="240">
        <f>(B21*(0.0765+0.0024))+13195.99+19915.05+15563.66+20513.69</f>
        <v>76116.104296999998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3594409.64</v>
      </c>
      <c r="C22" s="231">
        <f>SUM(C19:C21)</f>
        <v>1528160.78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739377.94</v>
      </c>
      <c r="C27" s="234">
        <f>'DOE25'!G199+'DOE25'!G217+'DOE25'!G235+'DOE25'!G278+'DOE25'!G297+'DOE25'!G316</f>
        <v>370486.43000000005</v>
      </c>
    </row>
    <row r="28" spans="1:3" x14ac:dyDescent="0.2">
      <c r="A28" t="s">
        <v>779</v>
      </c>
      <c r="B28" s="240">
        <v>739377.94</v>
      </c>
      <c r="C28" s="240">
        <f>C27-C29-C30</f>
        <v>370486.43000000005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739377.94</v>
      </c>
      <c r="C31" s="231">
        <f>SUM(C28:C30)</f>
        <v>370486.43000000005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230422.87</v>
      </c>
      <c r="C36" s="235">
        <f>'DOE25'!G200+'DOE25'!G218+'DOE25'!G236+'DOE25'!G279+'DOE25'!G298+'DOE25'!G317</f>
        <v>24523.219999999998</v>
      </c>
    </row>
    <row r="37" spans="1:3" x14ac:dyDescent="0.2">
      <c r="A37" t="s">
        <v>779</v>
      </c>
      <c r="B37" s="240">
        <v>42811.7</v>
      </c>
      <c r="C37" s="240">
        <f>C36-C38-C39</f>
        <v>9694.4486869999946</v>
      </c>
    </row>
    <row r="38" spans="1:3" x14ac:dyDescent="0.2">
      <c r="A38" t="s">
        <v>780</v>
      </c>
      <c r="B38" s="240">
        <v>5122</v>
      </c>
      <c r="C38" s="240">
        <f>(B38*(0.0765+0.0024))+26.25</f>
        <v>430.37579999999997</v>
      </c>
    </row>
    <row r="39" spans="1:3" x14ac:dyDescent="0.2">
      <c r="A39" t="s">
        <v>781</v>
      </c>
      <c r="B39" s="240">
        <v>182489.17</v>
      </c>
      <c r="C39" s="240">
        <f>(B39*(0.0765+0.0024))</f>
        <v>14398.395513000001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230422.87</v>
      </c>
      <c r="C40" s="231">
        <f>SUM(C37:C39)</f>
        <v>24523.219999999994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FY2014-2015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42" sqref="B4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Milford School District SAU#40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21302814.620000001</v>
      </c>
      <c r="D5" s="20">
        <f>SUM('DOE25'!L197:L200)+SUM('DOE25'!L215:L218)+SUM('DOE25'!L233:L236)-F5-G5</f>
        <v>21173759.540000003</v>
      </c>
      <c r="E5" s="243"/>
      <c r="F5" s="255">
        <f>SUM('DOE25'!J197:J200)+SUM('DOE25'!J215:J218)+SUM('DOE25'!J233:J236)</f>
        <v>109618.97</v>
      </c>
      <c r="G5" s="53">
        <f>SUM('DOE25'!K197:K200)+SUM('DOE25'!K215:K218)+SUM('DOE25'!K233:K236)</f>
        <v>19436.11</v>
      </c>
      <c r="H5" s="259"/>
    </row>
    <row r="6" spans="1:9" x14ac:dyDescent="0.2">
      <c r="A6" s="32">
        <v>2100</v>
      </c>
      <c r="B6" t="s">
        <v>801</v>
      </c>
      <c r="C6" s="245">
        <f t="shared" si="0"/>
        <v>2817223.6000000006</v>
      </c>
      <c r="D6" s="20">
        <f>'DOE25'!L202+'DOE25'!L220+'DOE25'!L238-F6-G6</f>
        <v>2809696.8900000006</v>
      </c>
      <c r="E6" s="243"/>
      <c r="F6" s="255">
        <f>'DOE25'!J202+'DOE25'!J220+'DOE25'!J238</f>
        <v>7075.92</v>
      </c>
      <c r="G6" s="53">
        <f>'DOE25'!K202+'DOE25'!K220+'DOE25'!K238</f>
        <v>450.79</v>
      </c>
      <c r="H6" s="259"/>
    </row>
    <row r="7" spans="1:9" x14ac:dyDescent="0.2">
      <c r="A7" s="32">
        <v>2200</v>
      </c>
      <c r="B7" t="s">
        <v>834</v>
      </c>
      <c r="C7" s="245">
        <f t="shared" si="0"/>
        <v>500734.2</v>
      </c>
      <c r="D7" s="20">
        <f>'DOE25'!L203+'DOE25'!L221+'DOE25'!L239-F7-G7</f>
        <v>492818.58</v>
      </c>
      <c r="E7" s="243"/>
      <c r="F7" s="255">
        <f>'DOE25'!J203+'DOE25'!J221+'DOE25'!J239</f>
        <v>7915.62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1738937.4799999997</v>
      </c>
      <c r="D8" s="243"/>
      <c r="E8" s="20">
        <f>'DOE25'!L204+'DOE25'!L222+'DOE25'!L240-F8-G8-D9-D11</f>
        <v>1725772.6099999996</v>
      </c>
      <c r="F8" s="255">
        <f>'DOE25'!J204+'DOE25'!J222+'DOE25'!J240</f>
        <v>-28</v>
      </c>
      <c r="G8" s="53">
        <f>'DOE25'!K204+'DOE25'!K222+'DOE25'!K240</f>
        <v>13192.87</v>
      </c>
      <c r="H8" s="259"/>
    </row>
    <row r="9" spans="1:9" x14ac:dyDescent="0.2">
      <c r="A9" s="32">
        <v>2310</v>
      </c>
      <c r="B9" t="s">
        <v>818</v>
      </c>
      <c r="C9" s="245">
        <f t="shared" si="0"/>
        <v>82700.740000000005</v>
      </c>
      <c r="D9" s="244">
        <v>82700.740000000005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11250</v>
      </c>
      <c r="D10" s="243"/>
      <c r="E10" s="244">
        <v>11250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199010.85</v>
      </c>
      <c r="D11" s="244">
        <v>199010.85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1846025.61</v>
      </c>
      <c r="D12" s="20">
        <f>'DOE25'!L205+'DOE25'!L223+'DOE25'!L241-F12-G12</f>
        <v>1815398.08</v>
      </c>
      <c r="E12" s="243"/>
      <c r="F12" s="255">
        <f>'DOE25'!J205+'DOE25'!J223+'DOE25'!J241</f>
        <v>2032.08</v>
      </c>
      <c r="G12" s="53">
        <f>'DOE25'!K205+'DOE25'!K223+'DOE25'!K241</f>
        <v>28595.45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2849359.83</v>
      </c>
      <c r="D14" s="20">
        <f>'DOE25'!L207+'DOE25'!L225+'DOE25'!L243-F14-G14</f>
        <v>2849359.83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966546.55</v>
      </c>
      <c r="D15" s="20">
        <f>'DOE25'!L208+'DOE25'!L226+'DOE25'!L244-F15-G15</f>
        <v>966546.55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895963.35000000009</v>
      </c>
      <c r="D16" s="243"/>
      <c r="E16" s="20">
        <f>'DOE25'!L209+'DOE25'!L227+'DOE25'!L245-F16-G16</f>
        <v>842464.82000000007</v>
      </c>
      <c r="F16" s="255">
        <f>'DOE25'!J209+'DOE25'!J227+'DOE25'!J245</f>
        <v>53498.530000000006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49000</v>
      </c>
      <c r="D22" s="243"/>
      <c r="E22" s="243"/>
      <c r="F22" s="255">
        <f>'DOE25'!L255+'DOE25'!L336</f>
        <v>49000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1417343.02</v>
      </c>
      <c r="D25" s="243"/>
      <c r="E25" s="243"/>
      <c r="F25" s="258"/>
      <c r="G25" s="256"/>
      <c r="H25" s="257">
        <f>'DOE25'!L260+'DOE25'!L261+'DOE25'!L341+'DOE25'!L342</f>
        <v>1417343.02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459452.07999999996</v>
      </c>
      <c r="D29" s="20">
        <f>'DOE25'!L358+'DOE25'!L359+'DOE25'!L360-'DOE25'!I367-F29-G29</f>
        <v>458885.37999999995</v>
      </c>
      <c r="E29" s="243"/>
      <c r="F29" s="255">
        <f>'DOE25'!J358+'DOE25'!J359+'DOE25'!J360</f>
        <v>0</v>
      </c>
      <c r="G29" s="53">
        <f>'DOE25'!K358+'DOE25'!K359+'DOE25'!K360</f>
        <v>566.69999999999993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1245395.1400000001</v>
      </c>
      <c r="D31" s="20">
        <f>'DOE25'!L290+'DOE25'!L309+'DOE25'!L328+'DOE25'!L333+'DOE25'!L334+'DOE25'!L335-F31-G31</f>
        <v>1148584.3900000001</v>
      </c>
      <c r="E31" s="243"/>
      <c r="F31" s="255">
        <f>'DOE25'!J290+'DOE25'!J309+'DOE25'!J328+'DOE25'!J333+'DOE25'!J334+'DOE25'!J335</f>
        <v>96810.75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31996760.829999998</v>
      </c>
      <c r="E33" s="246">
        <f>SUM(E5:E31)</f>
        <v>2579487.4299999997</v>
      </c>
      <c r="F33" s="246">
        <f>SUM(F5:F31)</f>
        <v>325923.87</v>
      </c>
      <c r="G33" s="246">
        <f>SUM(G5:G31)</f>
        <v>62241.919999999998</v>
      </c>
      <c r="H33" s="246">
        <f>SUM(H5:H31)</f>
        <v>1417343.02</v>
      </c>
    </row>
    <row r="35" spans="2:8" ht="12" thickBot="1" x14ac:dyDescent="0.25">
      <c r="B35" s="253" t="s">
        <v>847</v>
      </c>
      <c r="D35" s="254">
        <f>E33</f>
        <v>2579487.4299999997</v>
      </c>
      <c r="E35" s="249"/>
    </row>
    <row r="36" spans="2:8" ht="12" thickTop="1" x14ac:dyDescent="0.2">
      <c r="B36" t="s">
        <v>815</v>
      </c>
      <c r="D36" s="20">
        <f>D33</f>
        <v>31996760.829999998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B191" sqref="B19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Milford School District SAU#40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510379.6</v>
      </c>
      <c r="D8" s="95">
        <f>'DOE25'!G9</f>
        <v>322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492546.89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3393.49</v>
      </c>
      <c r="D11" s="95">
        <f>'DOE25'!G12</f>
        <v>52317.56</v>
      </c>
      <c r="E11" s="95">
        <f>'DOE25'!H12</f>
        <v>0</v>
      </c>
      <c r="F11" s="95">
        <f>'DOE25'!I12</f>
        <v>93320.59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44356.13</v>
      </c>
      <c r="D12" s="95">
        <f>'DOE25'!G13</f>
        <v>18318.62</v>
      </c>
      <c r="E12" s="95">
        <f>'DOE25'!H13</f>
        <v>198786.19</v>
      </c>
      <c r="F12" s="95">
        <f>'DOE25'!I13</f>
        <v>0</v>
      </c>
      <c r="G12" s="95">
        <f>'DOE25'!J13</f>
        <v>3212707.2399999998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4021.4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215083.17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1269780.6799999997</v>
      </c>
      <c r="D18" s="41">
        <f>SUM(D8:D17)</f>
        <v>70958.179999999993</v>
      </c>
      <c r="E18" s="41">
        <f>SUM(E8:E17)</f>
        <v>198786.19</v>
      </c>
      <c r="F18" s="41">
        <f>SUM(F8:F17)</f>
        <v>93320.59</v>
      </c>
      <c r="G18" s="41">
        <f>SUM(G8:G17)</f>
        <v>3212707.2399999998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149031.63999999998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155046.84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155046.84</v>
      </c>
      <c r="D31" s="41">
        <f>SUM(D21:D30)</f>
        <v>0</v>
      </c>
      <c r="E31" s="41">
        <f>SUM(E21:E30)</f>
        <v>149031.63999999998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215083.17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2955904.51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174389.13999999998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82413.59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70917.710000000006</v>
      </c>
      <c r="E47" s="95">
        <f>'DOE25'!H48</f>
        <v>49754.55</v>
      </c>
      <c r="F47" s="95">
        <f>'DOE25'!I48</f>
        <v>93320.589999999967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110632.74</v>
      </c>
      <c r="D48" s="95">
        <f>'DOE25'!G49</f>
        <v>40.47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789017.92999999993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1114733.8399999999</v>
      </c>
      <c r="D50" s="41">
        <f>SUM(D34:D49)</f>
        <v>70958.180000000008</v>
      </c>
      <c r="E50" s="41">
        <f>SUM(E34:E49)</f>
        <v>49754.55</v>
      </c>
      <c r="F50" s="41">
        <f>SUM(F34:F49)</f>
        <v>93320.589999999967</v>
      </c>
      <c r="G50" s="41">
        <f>SUM(G34:G49)</f>
        <v>3212707.2399999998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1269780.68</v>
      </c>
      <c r="D51" s="41">
        <f>D50+D31</f>
        <v>70958.180000000008</v>
      </c>
      <c r="E51" s="41">
        <f>E50+E31</f>
        <v>198786.19</v>
      </c>
      <c r="F51" s="41">
        <f>F50+F31</f>
        <v>93320.589999999967</v>
      </c>
      <c r="G51" s="41">
        <f>G50+G31</f>
        <v>3212707.2399999998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21640670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1180590.9099999999</v>
      </c>
      <c r="D57" s="24" t="s">
        <v>289</v>
      </c>
      <c r="E57" s="95">
        <f>'DOE25'!H79</f>
        <v>63929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1133.26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86996.55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433259.6399999999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24185.7</v>
      </c>
      <c r="D61" s="95">
        <f>SUM('DOE25'!G98:G110)</f>
        <v>0</v>
      </c>
      <c r="E61" s="95">
        <f>SUM('DOE25'!H98:H110)</f>
        <v>17262.059999999998</v>
      </c>
      <c r="F61" s="95">
        <f>SUM('DOE25'!I98:I110)</f>
        <v>0</v>
      </c>
      <c r="G61" s="95">
        <f>SUM('DOE25'!J98:J110)</f>
        <v>212747.49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1205909.8699999999</v>
      </c>
      <c r="D62" s="130">
        <f>SUM(D57:D61)</f>
        <v>433259.6399999999</v>
      </c>
      <c r="E62" s="130">
        <f>SUM(E57:E61)</f>
        <v>81191.06</v>
      </c>
      <c r="F62" s="130">
        <f>SUM(F57:F61)</f>
        <v>0</v>
      </c>
      <c r="G62" s="130">
        <f>SUM(G57:G61)</f>
        <v>299744.03999999998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22846579.870000001</v>
      </c>
      <c r="D63" s="22">
        <f>D56+D62</f>
        <v>433259.6399999999</v>
      </c>
      <c r="E63" s="22">
        <f>E56+E62</f>
        <v>81191.06</v>
      </c>
      <c r="F63" s="22">
        <f>F56+F62</f>
        <v>0</v>
      </c>
      <c r="G63" s="22">
        <f>G56+G62</f>
        <v>299744.03999999998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8071340.0700000003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3033037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1994.9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11106371.970000001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240864.94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30891.91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88618.84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10244.01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360375.68999999994</v>
      </c>
      <c r="D78" s="130">
        <f>SUM(D72:D77)</f>
        <v>10244.01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11466747.66</v>
      </c>
      <c r="D81" s="130">
        <f>SUM(D79:D80)+D78+D70</f>
        <v>10244.01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220830.74</v>
      </c>
      <c r="D88" s="95">
        <f>SUM('DOE25'!G153:G161)</f>
        <v>288664.82</v>
      </c>
      <c r="E88" s="95">
        <f>SUM('DOE25'!H153:H161)</f>
        <v>1134554.49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220830.74</v>
      </c>
      <c r="D91" s="131">
        <f>SUM(D85:D90)</f>
        <v>288664.82</v>
      </c>
      <c r="E91" s="131">
        <f>SUM(E85:E90)</f>
        <v>1134554.49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68277.27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35000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35000</v>
      </c>
      <c r="D103" s="86">
        <f>SUM(D93:D102)</f>
        <v>68277.27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34569158.270000003</v>
      </c>
      <c r="D104" s="86">
        <f>D63+D81+D91+D103</f>
        <v>800445.74</v>
      </c>
      <c r="E104" s="86">
        <f>E63+E81+E91+E103</f>
        <v>1215745.55</v>
      </c>
      <c r="F104" s="86">
        <f>F63+F81+F91+F103</f>
        <v>0</v>
      </c>
      <c r="G104" s="86">
        <f>G63+G81+G103</f>
        <v>299744.03999999998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14545641.170000002</v>
      </c>
      <c r="D109" s="24" t="s">
        <v>289</v>
      </c>
      <c r="E109" s="95">
        <f>('DOE25'!L276)+('DOE25'!L295)+('DOE25'!L314)</f>
        <v>338613.37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5256100.6500000004</v>
      </c>
      <c r="D110" s="24" t="s">
        <v>289</v>
      </c>
      <c r="E110" s="95">
        <f>('DOE25'!L277)+('DOE25'!L296)+('DOE25'!L315)</f>
        <v>295115.40000000002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1152548</v>
      </c>
      <c r="D111" s="24" t="s">
        <v>289</v>
      </c>
      <c r="E111" s="95">
        <f>('DOE25'!L278)+('DOE25'!L297)+('DOE25'!L316)</f>
        <v>63906.23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348524.79999999993</v>
      </c>
      <c r="D112" s="24" t="s">
        <v>289</v>
      </c>
      <c r="E112" s="95">
        <f>+('DOE25'!L279)+('DOE25'!L298)+('DOE25'!L317)</f>
        <v>26069.5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21302814.620000001</v>
      </c>
      <c r="D115" s="86">
        <f>SUM(D109:D114)</f>
        <v>0</v>
      </c>
      <c r="E115" s="86">
        <f>SUM(E109:E114)</f>
        <v>723704.5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2817223.6000000006</v>
      </c>
      <c r="D118" s="24" t="s">
        <v>289</v>
      </c>
      <c r="E118" s="95">
        <f>+('DOE25'!L281)+('DOE25'!L300)+('DOE25'!L319)</f>
        <v>338852.67000000004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500734.2</v>
      </c>
      <c r="D119" s="24" t="s">
        <v>289</v>
      </c>
      <c r="E119" s="95">
        <f>+('DOE25'!L282)+('DOE25'!L301)+('DOE25'!L320)</f>
        <v>55899.850000000006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2020649.0699999998</v>
      </c>
      <c r="D120" s="24" t="s">
        <v>289</v>
      </c>
      <c r="E120" s="95">
        <f>+('DOE25'!L283)+('DOE25'!L302)+('DOE25'!L321)</f>
        <v>96450.05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1846025.61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2849359.83</v>
      </c>
      <c r="D123" s="24" t="s">
        <v>289</v>
      </c>
      <c r="E123" s="95">
        <f>+('DOE25'!L286)+('DOE25'!L305)+('DOE25'!L324)</f>
        <v>4576.7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966546.55</v>
      </c>
      <c r="D124" s="24" t="s">
        <v>289</v>
      </c>
      <c r="E124" s="95">
        <f>+('DOE25'!L287)+('DOE25'!L306)+('DOE25'!L325)</f>
        <v>25911.37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895963.35000000009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800445.74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11896502.210000003</v>
      </c>
      <c r="D128" s="86">
        <f>SUM(D118:D127)</f>
        <v>800445.74</v>
      </c>
      <c r="E128" s="86">
        <f>SUM(E118:E127)</f>
        <v>521690.64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49000</v>
      </c>
      <c r="D130" s="24" t="s">
        <v>289</v>
      </c>
      <c r="E130" s="129">
        <f>'DOE25'!L336</f>
        <v>0</v>
      </c>
      <c r="F130" s="129">
        <f>SUM('DOE25'!L374:'DOE25'!L380)</f>
        <v>251294.76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1018070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399273.02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72800</v>
      </c>
    </row>
    <row r="135" spans="1:7" x14ac:dyDescent="0.2">
      <c r="A135" t="s">
        <v>233</v>
      </c>
      <c r="B135" s="32" t="s">
        <v>234</v>
      </c>
      <c r="C135" s="95">
        <f>'DOE25'!L263</f>
        <v>68277.27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24924.66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274819.38000000006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-299744.04000000004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1534620.29</v>
      </c>
      <c r="D144" s="141">
        <f>SUM(D130:D143)</f>
        <v>0</v>
      </c>
      <c r="E144" s="141">
        <f>SUM(E130:E143)</f>
        <v>0</v>
      </c>
      <c r="F144" s="141">
        <f>SUM(F130:F143)</f>
        <v>251294.76</v>
      </c>
      <c r="G144" s="141">
        <f>SUM(G130:G143)</f>
        <v>72800</v>
      </c>
    </row>
    <row r="145" spans="1:9" ht="12.75" thickTop="1" thickBot="1" x14ac:dyDescent="0.25">
      <c r="A145" s="33" t="s">
        <v>244</v>
      </c>
      <c r="C145" s="86">
        <f>(C115+C128+C144)</f>
        <v>34733937.120000005</v>
      </c>
      <c r="D145" s="86">
        <f>(D115+D128+D144)</f>
        <v>800445.74</v>
      </c>
      <c r="E145" s="86">
        <f>(E115+E128+E144)</f>
        <v>1245395.1400000001</v>
      </c>
      <c r="F145" s="86">
        <f>(F115+F128+F144)</f>
        <v>251294.76</v>
      </c>
      <c r="G145" s="86">
        <f>(G115+G128+G144)</f>
        <v>72800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5</v>
      </c>
      <c r="C151" s="153">
        <f>'DOE25'!G490</f>
        <v>20</v>
      </c>
      <c r="D151" s="153">
        <f>'DOE25'!H490</f>
        <v>10</v>
      </c>
      <c r="E151" s="153">
        <f>'DOE25'!I490</f>
        <v>20</v>
      </c>
      <c r="F151" s="153">
        <f>'DOE25'!J490</f>
        <v>5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 t="str">
        <f>'DOE25'!G491</f>
        <v>01/00</v>
      </c>
      <c r="D152" s="152" t="str">
        <f>'DOE25'!H491</f>
        <v>07/13</v>
      </c>
      <c r="E152" s="152" t="str">
        <f>'DOE25'!I491</f>
        <v>01/08</v>
      </c>
      <c r="F152" s="152" t="str">
        <f>'DOE25'!J491</f>
        <v>11/14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07/15</v>
      </c>
      <c r="C153" s="152" t="str">
        <f>'DOE25'!G492</f>
        <v>01/20</v>
      </c>
      <c r="D153" s="152" t="str">
        <f>'DOE25'!H492</f>
        <v>08/23</v>
      </c>
      <c r="E153" s="152" t="str">
        <f>'DOE25'!I492</f>
        <v>01/28</v>
      </c>
      <c r="F153" s="152" t="str">
        <f>'DOE25'!J492</f>
        <v>11/19</v>
      </c>
      <c r="G153" s="24" t="s">
        <v>289</v>
      </c>
    </row>
    <row r="154" spans="1:9" x14ac:dyDescent="0.2">
      <c r="A154" s="136" t="s">
        <v>30</v>
      </c>
      <c r="B154" s="137">
        <f>'DOE25'!F493</f>
        <v>438009</v>
      </c>
      <c r="C154" s="137">
        <f>'DOE25'!G493</f>
        <v>10895000</v>
      </c>
      <c r="D154" s="137">
        <f>'DOE25'!H493</f>
        <v>1404300</v>
      </c>
      <c r="E154" s="137">
        <f>'DOE25'!I493</f>
        <v>4393500</v>
      </c>
      <c r="F154" s="137">
        <f>'DOE25'!J493</f>
        <v>56710</v>
      </c>
      <c r="G154" s="24" t="s">
        <v>289</v>
      </c>
    </row>
    <row r="155" spans="1:9" x14ac:dyDescent="0.2">
      <c r="A155" s="136" t="s">
        <v>31</v>
      </c>
      <c r="B155" s="137">
        <f>'DOE25'!F494</f>
        <v>2.56</v>
      </c>
      <c r="C155" s="137">
        <f>'DOE25'!G494</f>
        <v>5.58</v>
      </c>
      <c r="D155" s="137">
        <f>'DOE25'!H494</f>
        <v>5.0999999999999996</v>
      </c>
      <c r="E155" s="137">
        <f>'DOE25'!I494</f>
        <v>4.43</v>
      </c>
      <c r="F155" s="137">
        <f>'DOE25'!J494</f>
        <v>3.79</v>
      </c>
      <c r="G155" s="24" t="s">
        <v>289</v>
      </c>
    </row>
    <row r="156" spans="1:9" x14ac:dyDescent="0.2">
      <c r="A156" s="22" t="s">
        <v>32</v>
      </c>
      <c r="B156" s="137">
        <f>'DOE25'!F495</f>
        <v>161974.16</v>
      </c>
      <c r="C156" s="137">
        <f>'DOE25'!G495</f>
        <v>3265000</v>
      </c>
      <c r="D156" s="137">
        <f>'DOE25'!H495</f>
        <v>1404300</v>
      </c>
      <c r="E156" s="137">
        <f>'DOE25'!I495</f>
        <v>3075000</v>
      </c>
      <c r="F156" s="137">
        <f>'DOE25'!J495</f>
        <v>56710</v>
      </c>
      <c r="G156" s="138">
        <f>SUM(B156:F156)</f>
        <v>7962984.1600000001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96770.44</v>
      </c>
      <c r="C158" s="137">
        <f>'DOE25'!G497</f>
        <v>545000</v>
      </c>
      <c r="D158" s="137">
        <f>'DOE25'!H497</f>
        <v>144300</v>
      </c>
      <c r="E158" s="137">
        <f>'DOE25'!I497</f>
        <v>220000</v>
      </c>
      <c r="F158" s="137">
        <f>'DOE25'!J497</f>
        <v>12000</v>
      </c>
      <c r="G158" s="138">
        <f t="shared" si="0"/>
        <v>1018070.44</v>
      </c>
    </row>
    <row r="159" spans="1:9" x14ac:dyDescent="0.2">
      <c r="A159" s="22" t="s">
        <v>35</v>
      </c>
      <c r="B159" s="137">
        <f>'DOE25'!F498</f>
        <v>65203.72</v>
      </c>
      <c r="C159" s="137">
        <f>'DOE25'!G498</f>
        <v>2720000</v>
      </c>
      <c r="D159" s="137">
        <f>'DOE25'!H498</f>
        <v>1260000</v>
      </c>
      <c r="E159" s="137">
        <f>'DOE25'!I498</f>
        <v>2855000</v>
      </c>
      <c r="F159" s="137">
        <f>'DOE25'!J498</f>
        <v>44710</v>
      </c>
      <c r="G159" s="138">
        <f t="shared" si="0"/>
        <v>6944913.7200000007</v>
      </c>
    </row>
    <row r="160" spans="1:9" x14ac:dyDescent="0.2">
      <c r="A160" s="22" t="s">
        <v>36</v>
      </c>
      <c r="B160" s="137">
        <f>'DOE25'!F499</f>
        <v>1669.22</v>
      </c>
      <c r="C160" s="137">
        <f>'DOE25'!G499</f>
        <v>464537.52</v>
      </c>
      <c r="D160" s="137">
        <f>'DOE25'!H499</f>
        <v>304220</v>
      </c>
      <c r="E160" s="137">
        <f>'DOE25'!I499</f>
        <v>858181.74</v>
      </c>
      <c r="F160" s="137">
        <f>'DOE25'!J499</f>
        <v>4315.04</v>
      </c>
      <c r="G160" s="138">
        <f t="shared" si="0"/>
        <v>1632923.52</v>
      </c>
    </row>
    <row r="161" spans="1:7" x14ac:dyDescent="0.2">
      <c r="A161" s="22" t="s">
        <v>37</v>
      </c>
      <c r="B161" s="137">
        <f>'DOE25'!F500</f>
        <v>66872.94</v>
      </c>
      <c r="C161" s="137">
        <f>'DOE25'!G500</f>
        <v>3184537.52</v>
      </c>
      <c r="D161" s="137">
        <f>'DOE25'!H500</f>
        <v>1564220</v>
      </c>
      <c r="E161" s="137">
        <f>'DOE25'!I500</f>
        <v>3713181.74</v>
      </c>
      <c r="F161" s="137">
        <f>'DOE25'!J500</f>
        <v>49025.04</v>
      </c>
      <c r="G161" s="138">
        <f t="shared" si="0"/>
        <v>8577837.2399999984</v>
      </c>
    </row>
    <row r="162" spans="1:7" x14ac:dyDescent="0.2">
      <c r="A162" s="22" t="s">
        <v>38</v>
      </c>
      <c r="B162" s="137">
        <f>'DOE25'!F501</f>
        <v>65203.72</v>
      </c>
      <c r="C162" s="137">
        <f>'DOE25'!G501</f>
        <v>545000</v>
      </c>
      <c r="D162" s="137">
        <f>'DOE25'!H501</f>
        <v>140000</v>
      </c>
      <c r="E162" s="137">
        <f>'DOE25'!I501</f>
        <v>220000</v>
      </c>
      <c r="F162" s="137">
        <f>'DOE25'!J501</f>
        <v>10561.75</v>
      </c>
      <c r="G162" s="138">
        <f t="shared" si="0"/>
        <v>980765.47</v>
      </c>
    </row>
    <row r="163" spans="1:7" x14ac:dyDescent="0.2">
      <c r="A163" s="22" t="s">
        <v>39</v>
      </c>
      <c r="B163" s="137">
        <f>'DOE25'!F502</f>
        <v>1669.22</v>
      </c>
      <c r="C163" s="137">
        <f>'DOE25'!G502</f>
        <v>154356.26</v>
      </c>
      <c r="D163" s="137">
        <f>'DOE25'!H502</f>
        <v>64190</v>
      </c>
      <c r="E163" s="137">
        <f>'DOE25'!I502</f>
        <v>126006.26</v>
      </c>
      <c r="F163" s="137">
        <f>'DOE25'!J502</f>
        <v>1694.51</v>
      </c>
      <c r="G163" s="138">
        <f t="shared" si="0"/>
        <v>347916.25</v>
      </c>
    </row>
    <row r="164" spans="1:7" x14ac:dyDescent="0.2">
      <c r="A164" s="22" t="s">
        <v>246</v>
      </c>
      <c r="B164" s="137">
        <f>'DOE25'!F503</f>
        <v>66872.94</v>
      </c>
      <c r="C164" s="137">
        <f>'DOE25'!G503</f>
        <v>699356.26</v>
      </c>
      <c r="D164" s="137">
        <f>'DOE25'!H503</f>
        <v>204190</v>
      </c>
      <c r="E164" s="137">
        <f>'DOE25'!I503</f>
        <v>346006.26</v>
      </c>
      <c r="F164" s="137">
        <f>'DOE25'!J503</f>
        <v>12256.26</v>
      </c>
      <c r="G164" s="138">
        <f t="shared" si="0"/>
        <v>1328681.72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Milford School District SAU#40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13378</v>
      </c>
    </row>
    <row r="5" spans="1:4" x14ac:dyDescent="0.2">
      <c r="B5" t="s">
        <v>704</v>
      </c>
      <c r="C5" s="179">
        <f>IF('DOE25'!G665+'DOE25'!G670=0,0,ROUND('DOE25'!G672,0))</f>
        <v>13001</v>
      </c>
    </row>
    <row r="6" spans="1:4" x14ac:dyDescent="0.2">
      <c r="B6" t="s">
        <v>62</v>
      </c>
      <c r="C6" s="179">
        <f>IF('DOE25'!H665+'DOE25'!H670=0,0,ROUND('DOE25'!H672,0))</f>
        <v>15161</v>
      </c>
    </row>
    <row r="7" spans="1:4" x14ac:dyDescent="0.2">
      <c r="B7" t="s">
        <v>705</v>
      </c>
      <c r="C7" s="179">
        <f>IF('DOE25'!I665+'DOE25'!I670=0,0,ROUND('DOE25'!I672,0))</f>
        <v>13875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14884255</v>
      </c>
      <c r="D10" s="182">
        <f>ROUND((C10/$C$28)*100,1)</f>
        <v>42.3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5551216</v>
      </c>
      <c r="D11" s="182">
        <f>ROUND((C11/$C$28)*100,1)</f>
        <v>15.8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1216454</v>
      </c>
      <c r="D12" s="182">
        <f>ROUND((C12/$C$28)*100,1)</f>
        <v>3.5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374594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3156076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556634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3013062</v>
      </c>
      <c r="D17" s="182">
        <f t="shared" si="0"/>
        <v>8.6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1846026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2853937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992458</v>
      </c>
      <c r="D21" s="182">
        <f t="shared" si="0"/>
        <v>2.8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399273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367186.3600000001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35211171.359999999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300295</v>
      </c>
    </row>
    <row r="30" spans="1:4" x14ac:dyDescent="0.2">
      <c r="B30" s="187" t="s">
        <v>729</v>
      </c>
      <c r="C30" s="180">
        <f>SUM(C28:C29)</f>
        <v>35511466.359999999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1018070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21640670</v>
      </c>
      <c r="D35" s="182">
        <f t="shared" ref="D35:D40" si="1">ROUND((C35/$C$41)*100,1)</f>
        <v>59.5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1586844.9699999988</v>
      </c>
      <c r="D36" s="182">
        <f t="shared" si="1"/>
        <v>4.4000000000000004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11104377</v>
      </c>
      <c r="D37" s="182">
        <f t="shared" si="1"/>
        <v>30.5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372615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1644050</v>
      </c>
      <c r="D39" s="182">
        <f t="shared" si="1"/>
        <v>4.5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36348556.969999999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4" sqref="C14:M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Milford School District SAU#40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 t="s">
        <v>916</v>
      </c>
      <c r="B4" s="219" t="s">
        <v>917</v>
      </c>
      <c r="C4" s="285" t="s">
        <v>918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936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 t="s">
        <v>919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 t="s">
        <v>920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 t="s">
        <v>935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 t="s">
        <v>921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 t="s">
        <v>937</v>
      </c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 t="s">
        <v>922</v>
      </c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2015-08-27T14:14:04Z</cp:lastPrinted>
  <dcterms:created xsi:type="dcterms:W3CDTF">1997-12-04T19:04:30Z</dcterms:created>
  <dcterms:modified xsi:type="dcterms:W3CDTF">2015-11-30T13:30:13Z</dcterms:modified>
</cp:coreProperties>
</file>