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7" i="1" l="1"/>
  <c r="F50" i="1" l="1"/>
  <c r="F24" i="1"/>
  <c r="E10" i="13" l="1"/>
  <c r="C10" i="12" l="1"/>
  <c r="C11" i="12"/>
  <c r="B11" i="12"/>
  <c r="B10" i="12"/>
  <c r="C20" i="12"/>
  <c r="B20" i="12"/>
  <c r="C39" i="12"/>
  <c r="C19" i="12"/>
  <c r="C12" i="12"/>
  <c r="B39" i="12"/>
  <c r="B19" i="12"/>
  <c r="B12" i="12"/>
  <c r="C37" i="12"/>
  <c r="B37" i="12"/>
  <c r="H23" i="1"/>
  <c r="G613" i="1" l="1"/>
  <c r="G612" i="1"/>
  <c r="G611" i="1"/>
  <c r="F612" i="1"/>
  <c r="F611" i="1"/>
  <c r="F613" i="1"/>
  <c r="K226" i="1"/>
  <c r="K244" i="1"/>
  <c r="I226" i="1"/>
  <c r="I244" i="1"/>
  <c r="H226" i="1"/>
  <c r="H244" i="1"/>
  <c r="G226" i="1"/>
  <c r="G244" i="1"/>
  <c r="F226" i="1"/>
  <c r="F244" i="1"/>
  <c r="K243" i="1"/>
  <c r="K225" i="1"/>
  <c r="I243" i="1"/>
  <c r="I225" i="1"/>
  <c r="H243" i="1"/>
  <c r="H225" i="1"/>
  <c r="G243" i="1"/>
  <c r="G225" i="1"/>
  <c r="F243" i="1"/>
  <c r="F225" i="1"/>
  <c r="I604" i="1"/>
  <c r="H604" i="1"/>
  <c r="I594" i="1"/>
  <c r="I595" i="1"/>
  <c r="J593" i="1"/>
  <c r="J592" i="1"/>
  <c r="I592" i="1"/>
  <c r="H592" i="1"/>
  <c r="H591" i="1" s="1"/>
  <c r="H543" i="1" l="1"/>
  <c r="H542" i="1"/>
  <c r="G543" i="1"/>
  <c r="G542" i="1"/>
  <c r="F543" i="1"/>
  <c r="F542" i="1"/>
  <c r="H541" i="1"/>
  <c r="G541" i="1"/>
  <c r="F541" i="1"/>
  <c r="F502" i="1" l="1"/>
  <c r="G440" i="1" l="1"/>
  <c r="I320" i="1" l="1"/>
  <c r="I314" i="1"/>
  <c r="H320" i="1"/>
  <c r="H315" i="1"/>
  <c r="H314" i="1"/>
  <c r="G320" i="1"/>
  <c r="G314" i="1"/>
  <c r="F320" i="1"/>
  <c r="F314" i="1"/>
  <c r="H301" i="1"/>
  <c r="H295" i="1"/>
  <c r="I282" i="1"/>
  <c r="G282" i="1"/>
  <c r="H155" i="1"/>
  <c r="H154" i="1"/>
  <c r="H150" i="1"/>
  <c r="H146" i="1"/>
  <c r="H24" i="1"/>
  <c r="F23" i="1"/>
  <c r="G468" i="1"/>
  <c r="G223" i="1" l="1"/>
  <c r="G222" i="1"/>
  <c r="G221" i="1"/>
  <c r="G220" i="1"/>
  <c r="G218" i="1"/>
  <c r="G216" i="1"/>
  <c r="G215" i="1"/>
  <c r="G208" i="1" l="1"/>
  <c r="G207" i="1"/>
  <c r="G205" i="1"/>
  <c r="G204" i="1"/>
  <c r="G203" i="1"/>
  <c r="G202" i="1"/>
  <c r="G200" i="1"/>
  <c r="G198" i="1"/>
  <c r="G197" i="1"/>
  <c r="F86" i="1"/>
  <c r="F14" i="1" l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I591" i="1" s="1"/>
  <c r="I598" i="1" s="1"/>
  <c r="H650" i="1" s="1"/>
  <c r="L244" i="1"/>
  <c r="J59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E118" i="2" s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L349" i="1"/>
  <c r="L350" i="1"/>
  <c r="I665" i="1"/>
  <c r="I670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C114" i="2"/>
  <c r="E114" i="2"/>
  <c r="D115" i="2"/>
  <c r="F115" i="2"/>
  <c r="G115" i="2"/>
  <c r="E121" i="2"/>
  <c r="C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604" i="1" s="1"/>
  <c r="J605" i="1" s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461" i="1"/>
  <c r="F470" i="1"/>
  <c r="G470" i="1"/>
  <c r="H470" i="1"/>
  <c r="H476" i="1" s="1"/>
  <c r="H624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2" i="1"/>
  <c r="K593" i="1"/>
  <c r="K594" i="1"/>
  <c r="K595" i="1"/>
  <c r="K596" i="1"/>
  <c r="K597" i="1"/>
  <c r="H598" i="1"/>
  <c r="H649" i="1" s="1"/>
  <c r="J598" i="1"/>
  <c r="H651" i="1" s="1"/>
  <c r="K602" i="1"/>
  <c r="K603" i="1"/>
  <c r="H605" i="1"/>
  <c r="I605" i="1"/>
  <c r="F614" i="1"/>
  <c r="G614" i="1"/>
  <c r="H614" i="1"/>
  <c r="I614" i="1"/>
  <c r="J614" i="1"/>
  <c r="K614" i="1"/>
  <c r="L614" i="1"/>
  <c r="G618" i="1"/>
  <c r="G620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H640" i="1"/>
  <c r="G641" i="1"/>
  <c r="H641" i="1"/>
  <c r="G642" i="1"/>
  <c r="G643" i="1"/>
  <c r="H643" i="1"/>
  <c r="G644" i="1"/>
  <c r="G645" i="1"/>
  <c r="H645" i="1"/>
  <c r="G651" i="1"/>
  <c r="J651" i="1" s="1"/>
  <c r="G652" i="1"/>
  <c r="H652" i="1"/>
  <c r="G653" i="1"/>
  <c r="H653" i="1"/>
  <c r="G654" i="1"/>
  <c r="H654" i="1"/>
  <c r="H655" i="1"/>
  <c r="L256" i="1"/>
  <c r="G164" i="2"/>
  <c r="C26" i="10"/>
  <c r="L351" i="1"/>
  <c r="D62" i="2"/>
  <c r="D63" i="2" s="1"/>
  <c r="D18" i="13"/>
  <c r="C18" i="13" s="1"/>
  <c r="D18" i="2"/>
  <c r="D17" i="13"/>
  <c r="C17" i="13" s="1"/>
  <c r="C91" i="2"/>
  <c r="F78" i="2"/>
  <c r="F81" i="2" s="1"/>
  <c r="D31" i="2"/>
  <c r="D50" i="2"/>
  <c r="F18" i="2"/>
  <c r="E103" i="2"/>
  <c r="D91" i="2"/>
  <c r="E62" i="2"/>
  <c r="E63" i="2" s="1"/>
  <c r="G62" i="2"/>
  <c r="D19" i="13"/>
  <c r="C19" i="13" s="1"/>
  <c r="E13" i="13"/>
  <c r="C13" i="13" s="1"/>
  <c r="H112" i="1"/>
  <c r="J641" i="1"/>
  <c r="J571" i="1"/>
  <c r="K571" i="1"/>
  <c r="L433" i="1"/>
  <c r="L419" i="1"/>
  <c r="D81" i="2"/>
  <c r="I169" i="1"/>
  <c r="G552" i="1"/>
  <c r="J643" i="1"/>
  <c r="I476" i="1"/>
  <c r="H625" i="1" s="1"/>
  <c r="J625" i="1" s="1"/>
  <c r="G476" i="1"/>
  <c r="H623" i="1" s="1"/>
  <c r="J623" i="1" s="1"/>
  <c r="F169" i="1"/>
  <c r="J140" i="1"/>
  <c r="F571" i="1"/>
  <c r="I552" i="1"/>
  <c r="K550" i="1"/>
  <c r="G22" i="2"/>
  <c r="J552" i="1"/>
  <c r="C29" i="10"/>
  <c r="H140" i="1"/>
  <c r="F22" i="13"/>
  <c r="H25" i="13"/>
  <c r="C25" i="13" s="1"/>
  <c r="H571" i="1"/>
  <c r="L560" i="1"/>
  <c r="G192" i="1"/>
  <c r="H192" i="1"/>
  <c r="J655" i="1"/>
  <c r="L570" i="1"/>
  <c r="I571" i="1"/>
  <c r="I545" i="1"/>
  <c r="J636" i="1"/>
  <c r="G36" i="2"/>
  <c r="L565" i="1"/>
  <c r="C22" i="13"/>
  <c r="L534" i="1" l="1"/>
  <c r="L524" i="1"/>
  <c r="C78" i="2"/>
  <c r="C56" i="2"/>
  <c r="A13" i="12"/>
  <c r="G662" i="1"/>
  <c r="K591" i="1"/>
  <c r="K598" i="1" s="1"/>
  <c r="G647" i="1" s="1"/>
  <c r="C21" i="10"/>
  <c r="G650" i="1"/>
  <c r="J650" i="1" s="1"/>
  <c r="K604" i="1"/>
  <c r="K605" i="1" s="1"/>
  <c r="G648" i="1" s="1"/>
  <c r="H663" i="1"/>
  <c r="I663" i="1" s="1"/>
  <c r="C20" i="10"/>
  <c r="C123" i="2"/>
  <c r="H545" i="1"/>
  <c r="G545" i="1"/>
  <c r="K551" i="1"/>
  <c r="K549" i="1"/>
  <c r="L544" i="1"/>
  <c r="L545" i="1" s="1"/>
  <c r="K500" i="1"/>
  <c r="J645" i="1"/>
  <c r="J640" i="1"/>
  <c r="J639" i="1"/>
  <c r="J476" i="1"/>
  <c r="H626" i="1" s="1"/>
  <c r="L401" i="1"/>
  <c r="C139" i="2" s="1"/>
  <c r="H408" i="1"/>
  <c r="H644" i="1" s="1"/>
  <c r="J644" i="1" s="1"/>
  <c r="L393" i="1"/>
  <c r="C138" i="2" s="1"/>
  <c r="E120" i="2"/>
  <c r="J624" i="1"/>
  <c r="J634" i="1"/>
  <c r="D127" i="2"/>
  <c r="D128" i="2" s="1"/>
  <c r="L362" i="1"/>
  <c r="C27" i="10" s="1"/>
  <c r="F661" i="1"/>
  <c r="D29" i="13"/>
  <c r="C29" i="13" s="1"/>
  <c r="H661" i="1"/>
  <c r="D145" i="2"/>
  <c r="G661" i="1"/>
  <c r="J338" i="1"/>
  <c r="J352" i="1" s="1"/>
  <c r="L328" i="1"/>
  <c r="H338" i="1"/>
  <c r="H352" i="1" s="1"/>
  <c r="K338" i="1"/>
  <c r="K352" i="1" s="1"/>
  <c r="C13" i="10"/>
  <c r="L309" i="1"/>
  <c r="C19" i="10"/>
  <c r="E110" i="2"/>
  <c r="E122" i="2"/>
  <c r="H33" i="13"/>
  <c r="K257" i="1"/>
  <c r="K271" i="1" s="1"/>
  <c r="C119" i="2"/>
  <c r="J257" i="1"/>
  <c r="J271" i="1" s="1"/>
  <c r="I257" i="1"/>
  <c r="I271" i="1" s="1"/>
  <c r="E16" i="13"/>
  <c r="C16" i="13" s="1"/>
  <c r="C121" i="2"/>
  <c r="C120" i="2"/>
  <c r="H257" i="1"/>
  <c r="H271" i="1" s="1"/>
  <c r="G338" i="1"/>
  <c r="G352" i="1" s="1"/>
  <c r="G257" i="1"/>
  <c r="G271" i="1" s="1"/>
  <c r="D12" i="13"/>
  <c r="C12" i="13" s="1"/>
  <c r="C15" i="10"/>
  <c r="E119" i="2"/>
  <c r="E109" i="2"/>
  <c r="D6" i="13"/>
  <c r="C6" i="13" s="1"/>
  <c r="L247" i="1"/>
  <c r="C11" i="10"/>
  <c r="F338" i="1"/>
  <c r="F352" i="1" s="1"/>
  <c r="D14" i="13"/>
  <c r="C14" i="13" s="1"/>
  <c r="D7" i="13"/>
  <c r="C7" i="13" s="1"/>
  <c r="L229" i="1"/>
  <c r="C112" i="2"/>
  <c r="F257" i="1"/>
  <c r="F271" i="1" s="1"/>
  <c r="D5" i="13"/>
  <c r="C5" i="13" s="1"/>
  <c r="C109" i="2"/>
  <c r="L290" i="1"/>
  <c r="C16" i="10"/>
  <c r="D15" i="13"/>
  <c r="C15" i="13" s="1"/>
  <c r="G649" i="1"/>
  <c r="J649" i="1" s="1"/>
  <c r="H647" i="1"/>
  <c r="C124" i="2"/>
  <c r="F662" i="1"/>
  <c r="I662" i="1" s="1"/>
  <c r="C18" i="10"/>
  <c r="E8" i="13"/>
  <c r="C8" i="13" s="1"/>
  <c r="C17" i="10"/>
  <c r="C118" i="2"/>
  <c r="C111" i="2"/>
  <c r="L211" i="1"/>
  <c r="C10" i="10"/>
  <c r="C81" i="2"/>
  <c r="F112" i="1"/>
  <c r="C36" i="10" s="1"/>
  <c r="C58" i="2"/>
  <c r="C62" i="2" s="1"/>
  <c r="C63" i="2" s="1"/>
  <c r="E31" i="2"/>
  <c r="H52" i="1"/>
  <c r="H619" i="1" s="1"/>
  <c r="J619" i="1" s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C104" i="2" l="1"/>
  <c r="J647" i="1"/>
  <c r="K552" i="1"/>
  <c r="L408" i="1"/>
  <c r="G637" i="1" s="1"/>
  <c r="J637" i="1" s="1"/>
  <c r="C141" i="2"/>
  <c r="C144" i="2" s="1"/>
  <c r="H660" i="1"/>
  <c r="H664" i="1" s="1"/>
  <c r="H667" i="1" s="1"/>
  <c r="F193" i="1"/>
  <c r="G627" i="1" s="1"/>
  <c r="J627" i="1" s="1"/>
  <c r="H646" i="1"/>
  <c r="J646" i="1" s="1"/>
  <c r="G635" i="1"/>
  <c r="J635" i="1" s="1"/>
  <c r="I661" i="1"/>
  <c r="G660" i="1"/>
  <c r="G664" i="1" s="1"/>
  <c r="G672" i="1" s="1"/>
  <c r="C5" i="10" s="1"/>
  <c r="E115" i="2"/>
  <c r="D31" i="13"/>
  <c r="C31" i="13" s="1"/>
  <c r="E128" i="2"/>
  <c r="H648" i="1"/>
  <c r="J648" i="1" s="1"/>
  <c r="L338" i="1"/>
  <c r="L352" i="1" s="1"/>
  <c r="G633" i="1" s="1"/>
  <c r="J633" i="1" s="1"/>
  <c r="C115" i="2"/>
  <c r="L257" i="1"/>
  <c r="L271" i="1" s="1"/>
  <c r="G632" i="1" s="1"/>
  <c r="J632" i="1" s="1"/>
  <c r="C128" i="2"/>
  <c r="C28" i="10"/>
  <c r="D22" i="10" s="1"/>
  <c r="E33" i="13"/>
  <c r="D35" i="13" s="1"/>
  <c r="F660" i="1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67" i="1"/>
  <c r="E145" i="2"/>
  <c r="D33" i="13"/>
  <c r="D36" i="13" s="1"/>
  <c r="C145" i="2"/>
  <c r="D23" i="10"/>
  <c r="D10" i="10"/>
  <c r="D15" i="10"/>
  <c r="D12" i="10"/>
  <c r="D20" i="10"/>
  <c r="D17" i="10"/>
  <c r="D16" i="10"/>
  <c r="D18" i="10"/>
  <c r="C30" i="10"/>
  <c r="D19" i="10"/>
  <c r="D27" i="10"/>
  <c r="D26" i="10"/>
  <c r="D25" i="10"/>
  <c r="D24" i="10"/>
  <c r="D13" i="10"/>
  <c r="D11" i="10"/>
  <c r="D21" i="10"/>
  <c r="F664" i="1"/>
  <c r="I660" i="1"/>
  <c r="I664" i="1" s="1"/>
  <c r="I672" i="1" s="1"/>
  <c r="C7" i="10" s="1"/>
  <c r="C41" i="10"/>
  <c r="D38" i="10" s="1"/>
  <c r="D28" i="10" l="1"/>
  <c r="F667" i="1"/>
  <c r="F672" i="1"/>
  <c r="C4" i="10" s="1"/>
  <c r="I667" i="1"/>
  <c r="D37" i="10"/>
  <c r="D36" i="10"/>
  <c r="D35" i="10"/>
  <c r="D40" i="10"/>
  <c r="D39" i="10"/>
  <c r="D41" i="10" l="1"/>
  <c r="C49" i="2"/>
  <c r="C50" i="2" s="1"/>
  <c r="C51" i="2" s="1"/>
  <c r="F51" i="1"/>
  <c r="F52" i="1" s="1"/>
  <c r="H617" i="1" s="1"/>
  <c r="J617" i="1" s="1"/>
  <c r="G622" i="1" l="1"/>
  <c r="J622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<sst xmlns="http://schemas.openxmlformats.org/spreadsheetml/2006/main" count="3959" uniqueCount="917">
  <si>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</si>
  <si>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</si>
  <si>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</si>
  <si>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</si>
  <si>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</si>
  <si>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</si>
  <si>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</si>
  <si>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</si>
  <si>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</si>
  <si>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</si>
  <si>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</si>
  <si>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</si>
  <si>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</si>
  <si>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</si>
  <si>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</si>
  <si>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</si>
  <si>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</si>
  <si>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</si>
  <si>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</si>
  <si>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</si>
  <si>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</si>
  <si>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</si>
  <si>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</si>
  <si>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</si>
  <si>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</si>
  <si>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</si>
  <si>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</si>
  <si>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</si>
  <si>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</si>
  <si>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</si>
  <si>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</si>
  <si>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</si>
  <si>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</si>
  <si>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</si>
  <si>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</si>
  <si>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</si>
  <si>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</si>
  <si>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</si>
  <si>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</si>
  <si>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</si>
  <si>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</si>
  <si>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</si>
  <si>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</si>
  <si>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</si>
  <si>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</si>
  <si>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</si>
  <si>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</si>
  <si>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</si>
  <si>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</si>
  <si>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</si>
  <si>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</si>
  <si>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</si>
  <si>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</si>
  <si>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</si>
  <si>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</si>
  <si>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</si>
  <si>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</si>
  <si>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</si>
  <si>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</si>
  <si>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</si>
  <si>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</si>
  <si>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</si>
  <si>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</si>
  <si>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</si>
  <si>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</si>
  <si>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</si>
  <si>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</si>
  <si>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</si>
  <si>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</si>
  <si>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</si>
  <si>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</si>
  <si>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</si>
  <si>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</si>
  <si>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</si>
  <si>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</si>
  <si>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</si>
  <si>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</si>
  <si>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</si>
  <si>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</si>
  <si>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</si>
  <si>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</si>
  <si>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</si>
  <si>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</si>
  <si>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</si>
  <si>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</si>
  <si>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</si>
  <si>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</si>
  <si>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</si>
  <si>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</si>
  <si>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</si>
  <si>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</si>
  <si>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</si>
  <si>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</si>
  <si>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</si>
  <si>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</si>
  <si>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</si>
  <si>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</si>
  <si>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</si>
  <si>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</si>
  <si>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</si>
  <si>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</si>
  <si>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</si>
  <si>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</si>
  <si>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</si>
  <si>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</si>
  <si>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</si>
  <si>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</si>
  <si>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</si>
  <si>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</si>
  <si>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</si>
  <si>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</si>
  <si>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</si>
  <si>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</si>
  <si>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</si>
  <si>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</si>
  <si>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</si>
  <si>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</si>
  <si>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</si>
  <si>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</si>
  <si>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</si>
  <si>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</si>
  <si>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</si>
  <si>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</si>
  <si>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</si>
  <si>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</si>
  <si>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</si>
  <si>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</si>
  <si>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</si>
  <si>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</si>
  <si>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</si>
  <si>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</si>
  <si>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</si>
  <si>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</si>
  <si>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</si>
  <si>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</si>
  <si>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</si>
  <si>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</si>
  <si>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</si>
  <si>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</si>
  <si>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</si>
  <si>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</si>
  <si>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</si>
  <si>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</si>
  <si>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</si>
  <si>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</si>
  <si>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</si>
  <si>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</si>
  <si>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</si>
  <si>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</si>
  <si>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</si>
  <si>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</si>
  <si>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</si>
  <si>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</si>
  <si>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</si>
  <si>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</si>
  <si>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</si>
  <si>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</si>
  <si>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</si>
  <si>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</si>
  <si>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</si>
  <si>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</si>
  <si>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</si>
  <si>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</si>
  <si>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</si>
  <si>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</si>
  <si>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</si>
  <si>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</si>
  <si>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</si>
  <si>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</si>
  <si>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</si>
  <si>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</si>
  <si>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</si>
  <si>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</si>
  <si>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</si>
  <si>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</si>
  <si>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</si>
  <si>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</si>
  <si>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</si>
  <si>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</si>
  <si>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</si>
  <si>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</si>
  <si>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</si>
  <si>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</si>
  <si>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</si>
  <si>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</si>
  <si>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</si>
  <si>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</si>
  <si>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</si>
  <si>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</si>
  <si>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</si>
  <si>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</si>
  <si>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</si>
  <si>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</si>
  <si>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</si>
  <si>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</si>
  <si>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</si>
  <si>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</si>
  <si>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</si>
  <si>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</si>
  <si>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</si>
  <si>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</si>
  <si>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</si>
  <si>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</si>
  <si>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</si>
  <si>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</si>
  <si>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</si>
  <si>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</si>
  <si>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</si>
  <si>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</si>
  <si>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</si>
  <si>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</si>
  <si>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</si>
  <si>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</si>
  <si>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</si>
  <si>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</si>
  <si>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</si>
  <si>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</si>
  <si>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</si>
  <si>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</si>
  <si>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</si>
  <si>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</si>
  <si>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</si>
  <si>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</si>
  <si>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</si>
  <si>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</si>
  <si>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</si>
  <si>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</si>
  <si>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</si>
  <si>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</si>
  <si>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</si>
  <si>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</si>
  <si>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</si>
  <si>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</si>
  <si>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</si>
  <si>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</si>
  <si>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</si>
  <si>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</si>
  <si>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</si>
  <si>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</si>
  <si>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</si>
  <si>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</si>
  <si>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</si>
  <si>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</si>
  <si>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</si>
  <si>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</si>
  <si>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</si>
  <si>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</si>
  <si>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</si>
  <si>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</si>
  <si>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</si>
  <si>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</si>
  <si>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</si>
  <si>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</si>
  <si>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</si>
  <si>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</si>
  <si>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</si>
  <si>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</si>
  <si>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</si>
  <si>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</si>
  <si>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</si>
  <si>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</si>
  <si>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</si>
  <si>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</si>
  <si>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</si>
  <si>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</si>
  <si>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</si>
  <si>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</si>
  <si>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</si>
  <si>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</si>
  <si>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</si>
  <si>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</si>
  <si>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</si>
  <si>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</si>
  <si>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</si>
  <si>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</si>
  <si>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</si>
  <si>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</si>
  <si>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</si>
  <si>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</si>
  <si>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</si>
  <si>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</si>
  <si>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</si>
  <si>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</si>
  <si>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</si>
  <si>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</si>
  <si>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</si>
  <si>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</si>
  <si>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</si>
  <si>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</si>
  <si>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</si>
  <si>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</si>
  <si>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</si>
  <si>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</si>
  <si>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</si>
  <si>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</si>
  <si>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</si>
  <si>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</si>
  <si>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</si>
  <si>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</si>
  <si>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</si>
  <si>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</si>
  <si>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</si>
  <si>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</si>
  <si>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</si>
  <si>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</si>
  <si>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</si>
  <si>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</si>
  <si>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</si>
  <si>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</si>
  <si>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</si>
  <si>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</si>
  <si>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</si>
  <si>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</si>
  <si>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</si>
  <si>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</si>
  <si>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</si>
  <si>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</si>
  <si>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</si>
  <si>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</si>
  <si>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</si>
  <si>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</si>
  <si>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</si>
  <si>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</si>
  <si>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</si>
  <si>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</si>
  <si>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</si>
  <si>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</si>
  <si>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</si>
  <si>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</si>
  <si>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</si>
  <si>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</si>
  <si>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</si>
  <si>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</si>
  <si>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</si>
  <si>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</si>
  <si>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</si>
  <si>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</si>
  <si>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</si>
  <si>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</si>
  <si>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</si>
  <si>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</si>
  <si>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</si>
  <si>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</si>
  <si>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</si>
  <si>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</si>
  <si>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</si>
  <si>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</si>
  <si>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</si>
  <si>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</si>
  <si>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</si>
  <si>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</si>
  <si>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</si>
  <si>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</si>
  <si>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</si>
  <si>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</si>
  <si>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</si>
  <si>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</si>
  <si>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</si>
  <si>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</si>
  <si>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</si>
  <si>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</si>
  <si>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</si>
  <si>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</si>
  <si>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</si>
  <si>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</si>
  <si>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</si>
  <si>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</si>
  <si>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</si>
  <si>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</si>
  <si>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</si>
  <si>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</si>
  <si>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</si>
  <si>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</si>
  <si>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</si>
  <si>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</si>
  <si>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</si>
  <si>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</si>
  <si>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</si>
  <si>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</si>
  <si>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</si>
  <si>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</si>
  <si>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</si>
  <si>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</si>
  <si>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</si>
  <si>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</si>
  <si>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</si>
  <si>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</si>
  <si>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</si>
  <si>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</si>
  <si>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</si>
  <si>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</si>
  <si>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</si>
  <si>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</si>
  <si>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</si>
  <si>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</si>
  <si>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</si>
  <si>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</si>
  <si>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</si>
  <si>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</si>
  <si>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</si>
  <si>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</si>
  <si>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</si>
  <si>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</si>
  <si>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</si>
  <si>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</si>
  <si>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</si>
  <si>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</si>
  <si>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</si>
  <si>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</si>
  <si>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</si>
  <si>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</si>
  <si>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</si>
  <si>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</si>
  <si>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</si>
  <si>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</si>
  <si>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</si>
  <si>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</si>
  <si>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</si>
  <si>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</si>
  <si>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</si>
  <si>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</si>
  <si>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</si>
  <si>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</si>
  <si>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</si>
  <si>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</si>
  <si>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</si>
  <si>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</si>
  <si>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</si>
  <si>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</si>
  <si>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</si>
  <si>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</si>
  <si>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</si>
  <si>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</si>
  <si>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</si>
  <si>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</si>
  <si>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</si>
  <si>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</si>
  <si>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</si>
  <si>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</si>
  <si>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</si>
  <si>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</si>
  <si>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</si>
  <si>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</si>
  <si>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</si>
  <si>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</si>
  <si>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</si>
  <si>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</si>
  <si>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</si>
  <si>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</si>
  <si>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</si>
  <si>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</si>
  <si>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</si>
  <si>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</si>
  <si>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</si>
  <si>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</si>
  <si>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</si>
  <si>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</si>
  <si>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</si>
  <si>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</si>
  <si>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</si>
  <si>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</si>
  <si>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</si>
  <si>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</si>
  <si>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</si>
  <si>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</si>
  <si>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</si>
  <si>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</si>
  <si>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</si>
  <si>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</si>
  <si>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</si>
  <si>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</si>
  <si>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</si>
  <si>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</si>
  <si>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</si>
  <si>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</si>
  <si>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</si>
  <si>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</si>
  <si>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</si>
  <si>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</si>
  <si>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</si>
  <si>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</si>
  <si>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</si>
  <si>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</si>
  <si>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</si>
  <si>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</si>
  <si>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</si>
  <si>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</si>
  <si>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</si>
  <si>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</si>
  <si>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</si>
  <si>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</si>
  <si>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</si>
  <si>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</si>
  <si>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</si>
  <si>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</si>
  <si>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</si>
  <si>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</si>
  <si>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</si>
  <si>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</si>
  <si>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</si>
  <si>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</si>
  <si>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</si>
  <si>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</si>
  <si>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</si>
  <si>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</si>
  <si>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</si>
  <si>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</si>
  <si>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</si>
  <si>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</si>
  <si>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</si>
  <si>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</si>
  <si>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</si>
  <si>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</si>
  <si>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</si>
  <si>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</si>
  <si>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</si>
  <si>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</si>
  <si>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</si>
  <si>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</si>
  <si>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</si>
  <si>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</si>
  <si>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</si>
  <si>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</si>
  <si>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</si>
  <si>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</si>
  <si>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</si>
  <si>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</si>
  <si>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</si>
  <si>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</si>
  <si>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</si>
  <si>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</si>
  <si>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</si>
  <si>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</si>
  <si>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</si>
  <si>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</si>
  <si>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</si>
  <si>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</si>
  <si>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</si>
  <si>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</si>
  <si>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</si>
  <si>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</si>
  <si>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</si>
  <si>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</si>
  <si>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</si>
  <si>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</si>
  <si>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</si>
  <si>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</si>
  <si>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</si>
  <si>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</si>
  <si>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</si>
  <si>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</si>
  <si>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</si>
  <si>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</si>
  <si>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</si>
  <si>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</si>
  <si>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</si>
  <si>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</si>
  <si>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</si>
  <si>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</si>
  <si>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</si>
  <si>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</si>
  <si>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</si>
  <si>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</si>
  <si>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</si>
  <si>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</si>
  <si>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</si>
  <si>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</si>
  <si>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</si>
  <si>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</si>
  <si>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</si>
  <si>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</si>
  <si>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</si>
  <si>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</si>
  <si>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</si>
  <si>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</si>
  <si>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</si>
  <si>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</si>
  <si>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</si>
  <si>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</si>
  <si>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</si>
  <si>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</si>
  <si>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</si>
  <si>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</si>
  <si>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</si>
  <si>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</si>
  <si>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</si>
  <si>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</si>
  <si>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</si>
  <si>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</si>
  <si>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</si>
  <si>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</si>
  <si>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</si>
  <si>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</si>
  <si>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</si>
  <si>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</si>
  <si>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</si>
  <si>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</si>
  <si>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</si>
  <si>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</si>
  <si>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</si>
  <si>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</si>
  <si>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</si>
  <si>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</si>
  <si>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</si>
  <si>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</si>
  <si>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</si>
  <si>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</si>
  <si>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</si>
  <si>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</si>
  <si>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</si>
  <si>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</si>
  <si>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</si>
  <si>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</si>
  <si>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</si>
  <si>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</si>
  <si>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</si>
  <si>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</si>
  <si>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</si>
  <si>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</si>
  <si>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</si>
  <si>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</si>
  <si>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</si>
  <si>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</si>
  <si>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</si>
  <si>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</si>
  <si>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</si>
  <si>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</si>
  <si>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</si>
  <si>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</si>
  <si>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</si>
  <si>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</si>
  <si>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</si>
  <si>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</si>
  <si>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</si>
  <si>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</si>
  <si>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</si>
  <si>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</si>
  <si>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</si>
  <si>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</si>
  <si>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</si>
  <si>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</si>
  <si>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</si>
  <si>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</si>
  <si>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</si>
  <si>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</si>
  <si>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</si>
  <si>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</si>
  <si>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</si>
  <si>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</si>
  <si>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</si>
  <si>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</si>
  <si>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</si>
  <si>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</si>
  <si>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</si>
  <si>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</si>
  <si>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</si>
  <si>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</si>
  <si>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</si>
  <si>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</si>
  <si>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</si>
  <si>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</si>
  <si>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</si>
  <si>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</si>
  <si>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</si>
  <si>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</si>
  <si>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</si>
  <si>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</si>
  <si>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</si>
  <si>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</si>
  <si>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</si>
  <si>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</si>
  <si>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</si>
  <si>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</si>
  <si>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</si>
  <si>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</si>
  <si>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</si>
  <si>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</si>
  <si>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</si>
  <si>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</si>
  <si>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</si>
  <si>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</si>
  <si>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</si>
  <si>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</si>
  <si>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</si>
  <si>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</si>
  <si>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</si>
  <si>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</si>
  <si>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</si>
  <si>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</si>
  <si>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</si>
  <si>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</si>
  <si>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</si>
  <si>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</si>
  <si>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</si>
  <si>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</si>
  <si>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</si>
  <si>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</si>
  <si>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</si>
  <si>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</si>
  <si>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</si>
  <si>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</si>
  <si>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</si>
  <si>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</si>
  <si>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</si>
  <si>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</si>
  <si>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</si>
  <si>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</si>
  <si>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</si>
  <si>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</si>
  <si>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</si>
  <si>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</si>
  <si>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</si>
  <si>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</si>
  <si>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</si>
  <si>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</si>
  <si>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</si>
  <si>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</si>
  <si>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</si>
  <si>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</si>
  <si>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</si>
  <si>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</si>
  <si>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</si>
  <si>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</si>
  <si>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</si>
  <si>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</si>
  <si>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</si>
  <si>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</si>
  <si>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</si>
  <si>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</si>
  <si>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</si>
  <si>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</si>
  <si>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</si>
  <si>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</si>
  <si>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</si>
  <si>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</si>
  <si>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</si>
  <si>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</si>
  <si>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</si>
  <si>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</si>
  <si>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</si>
  <si>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</si>
  <si>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</si>
  <si>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</si>
  <si>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</si>
  <si>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</si>
  <si>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</si>
  <si>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</si>
  <si>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</si>
  <si>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</si>
  <si>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</si>
  <si>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</si>
  <si>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</si>
  <si>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</si>
  <si>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</si>
  <si>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</si>
  <si>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</si>
  <si>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</si>
  <si>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</si>
  <si>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</si>
  <si>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</si>
  <si>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</si>
  <si>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</si>
  <si>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</si>
  <si>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</si>
  <si>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</si>
  <si>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</si>
  <si>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</si>
  <si>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</si>
  <si>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</si>
  <si>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</si>
  <si>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</si>
  <si>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</si>
  <si>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</si>
  <si>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</si>
  <si>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</si>
  <si>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</si>
  <si>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</si>
  <si>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</si>
  <si>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</si>
  <si>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</si>
  <si>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</si>
  <si>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</si>
  <si>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</si>
  <si>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</si>
  <si>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</si>
  <si>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</si>
  <si>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</si>
  <si>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</si>
  <si>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</si>
  <si>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</si>
  <si>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</si>
  <si>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</si>
  <si>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</si>
  <si>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</si>
  <si>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</si>
  <si>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</si>
  <si>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</si>
  <si>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</si>
  <si>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</si>
  <si>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</si>
  <si>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</si>
  <si>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</si>
  <si>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</si>
  <si>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</si>
  <si>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</si>
  <si>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</si>
  <si>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</si>
  <si>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</si>
  <si>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</si>
  <si>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</si>
  <si>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</si>
  <si>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</si>
  <si>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</si>
  <si>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</si>
  <si>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</si>
  <si>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</si>
  <si>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</si>
  <si>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</si>
  <si>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</si>
  <si>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</si>
  <si>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</si>
  <si>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</si>
  <si>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</si>
  <si>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</si>
  <si>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</si>
  <si>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</si>
  <si>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</si>
  <si>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</si>
  <si>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</si>
  <si>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</si>
  <si>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</si>
  <si>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</si>
  <si>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</si>
  <si>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</si>
  <si>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</si>
  <si>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</si>
  <si>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</si>
  <si>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</si>
  <si>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</si>
  <si>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</si>
  <si>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</si>
  <si>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</si>
  <si>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</si>
  <si>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</si>
  <si>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</si>
  <si>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</si>
  <si>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</si>
  <si>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</si>
  <si>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</si>
  <si>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</si>
  <si>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</si>
  <si>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</si>
  <si>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</si>
  <si>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</si>
  <si>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</si>
  <si>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</si>
  <si>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</si>
  <si>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</si>
  <si>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</si>
  <si>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</si>
  <si>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</si>
  <si>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</si>
  <si>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</si>
  <si>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</si>
  <si>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</si>
  <si>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</si>
  <si>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</si>
  <si>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</si>
  <si>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</si>
  <si>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</si>
  <si>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</si>
  <si>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</si>
  <si>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</si>
  <si>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</si>
  <si>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</si>
  <si>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</si>
  <si>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</si>
  <si>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</si>
  <si>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</si>
  <si>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</si>
  <si>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</si>
  <si>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</si>
  <si>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</si>
  <si>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</si>
  <si>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</si>
  <si>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</si>
  <si>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</si>
  <si>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</si>
  <si>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</si>
  <si>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</si>
  <si>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</si>
  <si>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</si>
  <si>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</si>
  <si>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</si>
  <si>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</si>
  <si>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</si>
  <si>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</si>
  <si>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</si>
  <si>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</si>
  <si>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</si>
  <si>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</si>
  <si>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</si>
  <si>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</si>
  <si>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</si>
  <si>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</si>
  <si>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</si>
  <si>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</si>
  <si>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</si>
  <si>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</si>
  <si>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</si>
  <si>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</si>
  <si>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Audit adjustment</t>
  </si>
  <si>
    <t>08/05</t>
  </si>
  <si>
    <t>08/20</t>
  </si>
  <si>
    <t>Transferred balance FY 14 after DOE submital FY 14 (194,338)</t>
  </si>
  <si>
    <t>to correct audited FB (35,557.22)</t>
  </si>
  <si>
    <t>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</si>
</sst>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359</v>
      </c>
      <c r="C2" s="21">
        <v>359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143517.60999999999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268286.38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4395.49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110414+87942.86+2178.09</f>
        <v>200534.94999999998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12395.95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344052.55999999994</v>
      </c>
      <c r="G19" s="41">
        <f>SUM(G9:G18)</f>
        <v>12395.95</v>
      </c>
      <c r="H19" s="41">
        <f>SUM(H9:H18)</f>
        <v>4395.49</v>
      </c>
      <c r="I19" s="41">
        <f>SUM(I9:I18)</f>
        <v>0</v>
      </c>
      <c r="J19" s="41">
        <f>SUM(J9:J18)</f>
        <v>268286.38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4555.78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f>1270.19+42698.7</f>
        <v>43968.89</v>
      </c>
      <c r="G23" s="18">
        <v>7547.6</v>
      </c>
      <c r="H23" s="18">
        <f>25.25-28769.84</f>
        <v>-28744.59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55267.07</f>
        <v>55267.07</v>
      </c>
      <c r="G24" s="18">
        <v>4848.3500000000004</v>
      </c>
      <c r="H24" s="18">
        <f>5402.73+500.49</f>
        <v>5903.2199999999993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27236.86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103791.73999999999</v>
      </c>
      <c r="G32" s="41">
        <f>SUM(G22:G31)</f>
        <v>12395.95</v>
      </c>
      <c r="H32" s="41">
        <f>SUM(H22:H31)</f>
        <v>4395.489999999998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90000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268286.38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F19-F32-F44</f>
        <v>150260.81999999995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240260.81999999995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268286.38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344052.55999999994</v>
      </c>
      <c r="G52" s="41">
        <f>G51+G32</f>
        <v>12395.95</v>
      </c>
      <c r="H52" s="41">
        <f>H51+H32</f>
        <v>4395.489999999998</v>
      </c>
      <c r="I52" s="41">
        <f>I51+I32</f>
        <v>0</v>
      </c>
      <c r="J52" s="41">
        <f>J51+J32</f>
        <v>268286.38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5458330-831682</f>
        <v>4626648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4626648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f>134.9+4101.61</f>
        <v>4236.5099999999993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4236.5099999999993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-1126.3399999999999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95668.73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3328.7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2202.3599999999997</v>
      </c>
      <c r="G111" s="41">
        <f>SUM(G96:G110)</f>
        <v>95668.73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4633086.87</v>
      </c>
      <c r="G112" s="41">
        <f>G60+G111</f>
        <v>95668.73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3012464.6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3012464.6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180046.78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831682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7235.6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3284.42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12395.95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1018964.38</v>
      </c>
      <c r="G136" s="41">
        <f>SUM(G123:G135)</f>
        <v>15680.37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4031428.98</v>
      </c>
      <c r="G140" s="41">
        <f>G121+SUM(G136:G137)</f>
        <v>15680.37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>
        <f>103982.04+33361.49</f>
        <v>137343.53</v>
      </c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137343.53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f>68010.38+82579.35+55.01</f>
        <v>150644.74000000002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25074.44+9663.02+156737.39+20985.94+3038.65+2217.62</f>
        <v>217717.06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3576.42+2418.35+5518.85+6411.31+13289.98+14200.87+9336.5+20468.61+2473.06</f>
        <v>77693.95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117968.58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140249.29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140249.29</v>
      </c>
      <c r="G162" s="41">
        <f>SUM(G150:G161)</f>
        <v>117968.58</v>
      </c>
      <c r="H162" s="41">
        <f>SUM(H150:H161)</f>
        <v>446055.75000000006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140249.29</v>
      </c>
      <c r="G169" s="41">
        <f>G147+G162+SUM(G163:G168)</f>
        <v>117968.58</v>
      </c>
      <c r="H169" s="41">
        <f>H147+H162+SUM(H163:H168)</f>
        <v>583399.28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54919.79</v>
      </c>
      <c r="H179" s="18"/>
      <c r="I179" s="18"/>
      <c r="J179" s="18">
        <v>105000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54919.79</v>
      </c>
      <c r="H183" s="41">
        <f>SUM(H179:H182)</f>
        <v>0</v>
      </c>
      <c r="I183" s="41">
        <f>SUM(I179:I182)</f>
        <v>0</v>
      </c>
      <c r="J183" s="41">
        <f>SUM(J179:J182)</f>
        <v>105000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54919.79</v>
      </c>
      <c r="H192" s="41">
        <f>+H183+SUM(H188:H191)</f>
        <v>0</v>
      </c>
      <c r="I192" s="41">
        <f>I177+I183+SUM(I188:I191)</f>
        <v>0</v>
      </c>
      <c r="J192" s="41">
        <f>J183</f>
        <v>105000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8804765.1399999987</v>
      </c>
      <c r="G193" s="47">
        <f>G112+G140+G169+G192</f>
        <v>284237.46999999997</v>
      </c>
      <c r="H193" s="47">
        <f>H112+H140+H169+H192</f>
        <v>583399.28</v>
      </c>
      <c r="I193" s="47">
        <f>I112+I140+I169+I192</f>
        <v>0</v>
      </c>
      <c r="J193" s="47">
        <f>J112+J140+J192</f>
        <v>105000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924648.45</v>
      </c>
      <c r="G197" s="18">
        <f>419000.94+16926.6</f>
        <v>435927.54</v>
      </c>
      <c r="H197" s="18">
        <v>11873.62</v>
      </c>
      <c r="I197" s="18">
        <v>28491.48</v>
      </c>
      <c r="J197" s="18">
        <v>3873.59</v>
      </c>
      <c r="K197" s="18"/>
      <c r="L197" s="19">
        <f>SUM(F197:K197)</f>
        <v>1404814.6800000002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362445.55</v>
      </c>
      <c r="G198" s="18">
        <f>165051.01+6667.65</f>
        <v>171718.66</v>
      </c>
      <c r="H198" s="18">
        <v>540122.14</v>
      </c>
      <c r="I198" s="18">
        <v>643.71</v>
      </c>
      <c r="J198" s="18">
        <v>275.36</v>
      </c>
      <c r="K198" s="18"/>
      <c r="L198" s="19">
        <f>SUM(F198:K198)</f>
        <v>1075205.4200000002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28371.25</v>
      </c>
      <c r="G200" s="18">
        <f>5527.34+223.29</f>
        <v>5750.63</v>
      </c>
      <c r="H200" s="18">
        <v>11258.78</v>
      </c>
      <c r="I200" s="18"/>
      <c r="J200" s="18"/>
      <c r="K200" s="18"/>
      <c r="L200" s="19">
        <f>SUM(F200:K200)</f>
        <v>45380.659999999996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70563.649999999994</v>
      </c>
      <c r="G202" s="18">
        <f>8428.35+15024.56+947.44</f>
        <v>24400.35</v>
      </c>
      <c r="H202" s="18">
        <v>10735</v>
      </c>
      <c r="I202" s="18">
        <v>998.88</v>
      </c>
      <c r="J202" s="18"/>
      <c r="K202" s="18">
        <v>155</v>
      </c>
      <c r="L202" s="19">
        <f t="shared" ref="L202:L208" si="0">SUM(F202:K202)</f>
        <v>106852.88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43846</v>
      </c>
      <c r="G203" s="18">
        <f>3370+23584.84+1088.91</f>
        <v>28043.75</v>
      </c>
      <c r="H203" s="18">
        <v>3986.99</v>
      </c>
      <c r="I203" s="18">
        <v>6738.69</v>
      </c>
      <c r="J203" s="18"/>
      <c r="K203" s="18"/>
      <c r="L203" s="19">
        <f t="shared" si="0"/>
        <v>82615.430000000008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4625.12</v>
      </c>
      <c r="G204" s="18">
        <f>330.15+13.34</f>
        <v>343.48999999999995</v>
      </c>
      <c r="H204" s="18">
        <v>171536.92</v>
      </c>
      <c r="I204" s="18"/>
      <c r="J204" s="18"/>
      <c r="K204" s="18">
        <v>1836.61</v>
      </c>
      <c r="L204" s="19">
        <f t="shared" si="0"/>
        <v>178342.13999999998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193494.33</v>
      </c>
      <c r="G205" s="18">
        <f>87567.33+3537.5</f>
        <v>91104.83</v>
      </c>
      <c r="H205" s="18">
        <v>7665.2</v>
      </c>
      <c r="I205" s="18">
        <v>9717.33</v>
      </c>
      <c r="J205" s="18"/>
      <c r="K205" s="18">
        <v>688</v>
      </c>
      <c r="L205" s="19">
        <f t="shared" si="0"/>
        <v>302669.69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86973.6</v>
      </c>
      <c r="G207" s="18">
        <f>35903.5+1450.41</f>
        <v>37353.910000000003</v>
      </c>
      <c r="H207" s="18">
        <v>106130.33</v>
      </c>
      <c r="I207" s="18">
        <v>87795.16</v>
      </c>
      <c r="J207" s="18">
        <v>9120.16</v>
      </c>
      <c r="K207" s="18">
        <v>60</v>
      </c>
      <c r="L207" s="19">
        <f t="shared" si="0"/>
        <v>327433.15999999997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70847.66</v>
      </c>
      <c r="G208" s="18">
        <f>33080.66+1336.38</f>
        <v>34417.040000000001</v>
      </c>
      <c r="H208" s="18">
        <v>72994.559999999998</v>
      </c>
      <c r="I208" s="18">
        <v>31201.439999999999</v>
      </c>
      <c r="J208" s="18"/>
      <c r="K208" s="18">
        <v>1253.99</v>
      </c>
      <c r="L208" s="19">
        <f t="shared" si="0"/>
        <v>210714.69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13628.74</v>
      </c>
      <c r="I209" s="18">
        <v>2859</v>
      </c>
      <c r="J209" s="18">
        <v>8142.39</v>
      </c>
      <c r="K209" s="18"/>
      <c r="L209" s="19">
        <f>SUM(F209:K209)</f>
        <v>24630.129999999997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1785815.61</v>
      </c>
      <c r="G211" s="41">
        <f t="shared" si="1"/>
        <v>829060.2</v>
      </c>
      <c r="H211" s="41">
        <f t="shared" si="1"/>
        <v>949932.28</v>
      </c>
      <c r="I211" s="41">
        <f t="shared" si="1"/>
        <v>168445.69</v>
      </c>
      <c r="J211" s="41">
        <f t="shared" si="1"/>
        <v>21411.5</v>
      </c>
      <c r="K211" s="41">
        <f t="shared" si="1"/>
        <v>3993.5999999999995</v>
      </c>
      <c r="L211" s="41">
        <f t="shared" si="1"/>
        <v>3758658.8800000008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485068.13</v>
      </c>
      <c r="G215" s="18">
        <f>211027.5+19407.5</f>
        <v>230435</v>
      </c>
      <c r="H215" s="18">
        <v>4031.26</v>
      </c>
      <c r="I215" s="18">
        <v>24628.09</v>
      </c>
      <c r="J215" s="18">
        <v>2749.88</v>
      </c>
      <c r="K215" s="18">
        <v>324</v>
      </c>
      <c r="L215" s="19">
        <f>SUM(F215:K215)</f>
        <v>747236.36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156179.26</v>
      </c>
      <c r="G216" s="18">
        <f>104211.2+9583.96</f>
        <v>113795.16</v>
      </c>
      <c r="H216" s="18">
        <v>119075.82</v>
      </c>
      <c r="I216" s="18">
        <v>1578.4</v>
      </c>
      <c r="J216" s="18">
        <v>498</v>
      </c>
      <c r="K216" s="18"/>
      <c r="L216" s="19">
        <f>SUM(F216:K216)</f>
        <v>391126.64000000007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49222.48</v>
      </c>
      <c r="G218" s="18">
        <f>16831.3+1547.92</f>
        <v>18379.22</v>
      </c>
      <c r="H218" s="18">
        <v>3622.8</v>
      </c>
      <c r="I218" s="18">
        <v>2384.5100000000002</v>
      </c>
      <c r="J218" s="18">
        <v>2000.34</v>
      </c>
      <c r="K218" s="18">
        <v>470</v>
      </c>
      <c r="L218" s="19">
        <f>SUM(F218:K218)</f>
        <v>76079.350000000006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60868.06</v>
      </c>
      <c r="G220" s="18">
        <f>35690.95+3282.38</f>
        <v>38973.329999999994</v>
      </c>
      <c r="H220" s="18">
        <v>2719.65</v>
      </c>
      <c r="I220" s="18">
        <v>540.19000000000005</v>
      </c>
      <c r="J220" s="18"/>
      <c r="K220" s="18">
        <v>40</v>
      </c>
      <c r="L220" s="19">
        <f t="shared" ref="L220:L226" si="2">SUM(F220:K220)</f>
        <v>103141.22999999998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20316.88</v>
      </c>
      <c r="G221" s="18">
        <f>19873.77+1827.73</f>
        <v>21701.5</v>
      </c>
      <c r="H221" s="18">
        <v>1987</v>
      </c>
      <c r="I221" s="18">
        <v>8036.31</v>
      </c>
      <c r="J221" s="18"/>
      <c r="K221" s="18"/>
      <c r="L221" s="19">
        <f t="shared" si="2"/>
        <v>52041.69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6926.44</v>
      </c>
      <c r="G222" s="18">
        <f>494.41+45.44</f>
        <v>539.85</v>
      </c>
      <c r="H222" s="18">
        <v>257500.73</v>
      </c>
      <c r="I222" s="18"/>
      <c r="J222" s="18"/>
      <c r="K222" s="18">
        <v>1224.4000000000001</v>
      </c>
      <c r="L222" s="19">
        <f t="shared" si="2"/>
        <v>266191.42000000004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77009.23</v>
      </c>
      <c r="G223" s="18">
        <f>30488.82+2803.96</f>
        <v>33292.78</v>
      </c>
      <c r="H223" s="18">
        <v>6363.29</v>
      </c>
      <c r="I223" s="18">
        <v>4272.7700000000004</v>
      </c>
      <c r="J223" s="18"/>
      <c r="K223" s="18">
        <v>589</v>
      </c>
      <c r="L223" s="19">
        <f t="shared" si="2"/>
        <v>121527.06999999999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115395.97*0.4</f>
        <v>46158.388000000006</v>
      </c>
      <c r="G225" s="18">
        <f>(50155.38+4612.62)*0.4</f>
        <v>21907.200000000001</v>
      </c>
      <c r="H225" s="18">
        <f>116296.34*0.4</f>
        <v>46518.536</v>
      </c>
      <c r="I225" s="18">
        <f>142009.75*0.4</f>
        <v>56803.9</v>
      </c>
      <c r="J225" s="18"/>
      <c r="K225" s="18">
        <f>90*0.4</f>
        <v>36</v>
      </c>
      <c r="L225" s="19">
        <f t="shared" si="2"/>
        <v>171424.024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147349.95*0.4</f>
        <v>58939.98000000001</v>
      </c>
      <c r="G226" s="18">
        <f>(56278.33+5175.73)*0.4</f>
        <v>24581.624</v>
      </c>
      <c r="H226" s="18">
        <f>88443.72*0.4</f>
        <v>35377.488000000005</v>
      </c>
      <c r="I226" s="18">
        <f>43909.82*0.4</f>
        <v>17563.928</v>
      </c>
      <c r="J226" s="18"/>
      <c r="K226" s="18">
        <f>1288.16*0.4</f>
        <v>515.26400000000001</v>
      </c>
      <c r="L226" s="19">
        <f t="shared" si="2"/>
        <v>136978.28400000001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7372.1</v>
      </c>
      <c r="I227" s="18">
        <v>840</v>
      </c>
      <c r="J227" s="18"/>
      <c r="K227" s="18"/>
      <c r="L227" s="19">
        <f>SUM(F227:K227)</f>
        <v>8212.1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960688.84799999988</v>
      </c>
      <c r="G229" s="41">
        <f>SUM(G215:G228)</f>
        <v>503605.66399999999</v>
      </c>
      <c r="H229" s="41">
        <f>SUM(H215:H228)</f>
        <v>484568.674</v>
      </c>
      <c r="I229" s="41">
        <f>SUM(I215:I228)</f>
        <v>116648.09800000001</v>
      </c>
      <c r="J229" s="41">
        <f>SUM(J215:J228)</f>
        <v>5248.22</v>
      </c>
      <c r="K229" s="41">
        <f t="shared" si="3"/>
        <v>3198.6640000000002</v>
      </c>
      <c r="L229" s="41">
        <f t="shared" si="3"/>
        <v>2073958.1680000001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648514.13</v>
      </c>
      <c r="G233" s="18">
        <v>293362.17</v>
      </c>
      <c r="H233" s="18">
        <v>23902.76</v>
      </c>
      <c r="I233" s="18">
        <v>35465.919999999998</v>
      </c>
      <c r="J233" s="18">
        <v>6341.58</v>
      </c>
      <c r="K233" s="18">
        <v>598.26</v>
      </c>
      <c r="L233" s="19">
        <f>SUM(F233:K233)</f>
        <v>1008184.8200000001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239281.48</v>
      </c>
      <c r="G234" s="18">
        <v>112997.3</v>
      </c>
      <c r="H234" s="18">
        <v>267306.86</v>
      </c>
      <c r="I234" s="18">
        <v>1715.14</v>
      </c>
      <c r="J234" s="18">
        <v>28.69</v>
      </c>
      <c r="K234" s="18"/>
      <c r="L234" s="19">
        <f>SUM(F234:K234)</f>
        <v>621329.47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43846</v>
      </c>
      <c r="G235" s="18">
        <v>14138.43</v>
      </c>
      <c r="H235" s="18">
        <v>20574.43</v>
      </c>
      <c r="I235" s="18"/>
      <c r="J235" s="18"/>
      <c r="K235" s="18"/>
      <c r="L235" s="19">
        <f>SUM(F235:K235)</f>
        <v>78558.86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42072.03</v>
      </c>
      <c r="G236" s="18">
        <v>7582.07</v>
      </c>
      <c r="H236" s="18">
        <v>17184.64</v>
      </c>
      <c r="I236" s="18">
        <v>4933.96</v>
      </c>
      <c r="J236" s="18">
        <v>7785.71</v>
      </c>
      <c r="K236" s="18">
        <v>2400</v>
      </c>
      <c r="L236" s="19">
        <f>SUM(F236:K236)</f>
        <v>81958.41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94425.67</v>
      </c>
      <c r="G238" s="18">
        <v>54228.99</v>
      </c>
      <c r="H238" s="18">
        <v>5204.76</v>
      </c>
      <c r="I238" s="18">
        <v>1266.25</v>
      </c>
      <c r="J238" s="18"/>
      <c r="K238" s="18"/>
      <c r="L238" s="19">
        <f t="shared" ref="L238:L244" si="4">SUM(F238:K238)</f>
        <v>155125.67000000001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30475.119999999999</v>
      </c>
      <c r="G239" s="18">
        <v>28918.83</v>
      </c>
      <c r="H239" s="18">
        <v>1215.95</v>
      </c>
      <c r="I239" s="18">
        <v>6630</v>
      </c>
      <c r="J239" s="18"/>
      <c r="K239" s="18"/>
      <c r="L239" s="19">
        <f t="shared" si="4"/>
        <v>67239.899999999994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112961.42</v>
      </c>
      <c r="G241" s="18">
        <v>45371.32</v>
      </c>
      <c r="H241" s="18">
        <v>6828.09</v>
      </c>
      <c r="I241" s="18">
        <v>5287.98</v>
      </c>
      <c r="J241" s="18">
        <v>250.99</v>
      </c>
      <c r="K241" s="18">
        <v>970.07</v>
      </c>
      <c r="L241" s="19">
        <f t="shared" si="4"/>
        <v>171669.87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115395.97*0.6</f>
        <v>69237.581999999995</v>
      </c>
      <c r="G243" s="18">
        <f>(50155.38+4612.62)*0.6</f>
        <v>32860.799999999996</v>
      </c>
      <c r="H243" s="18">
        <f>116296.34*0.6</f>
        <v>69777.803999999989</v>
      </c>
      <c r="I243" s="18">
        <f>142009.75*0.6</f>
        <v>85205.849999999991</v>
      </c>
      <c r="J243" s="18"/>
      <c r="K243" s="18">
        <f>90*0.6</f>
        <v>54</v>
      </c>
      <c r="L243" s="19">
        <f t="shared" si="4"/>
        <v>257136.03599999996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147349.95*0.6</f>
        <v>88409.97</v>
      </c>
      <c r="G244" s="18">
        <f>61454.06*0.6</f>
        <v>36872.435999999994</v>
      </c>
      <c r="H244" s="18">
        <f>88443.72*0.6</f>
        <v>53066.231999999996</v>
      </c>
      <c r="I244" s="18">
        <f>43909.82*0.6</f>
        <v>26345.892</v>
      </c>
      <c r="J244" s="18"/>
      <c r="K244" s="18">
        <f>1288.16*0.6</f>
        <v>772.89600000000007</v>
      </c>
      <c r="L244" s="19">
        <f t="shared" si="4"/>
        <v>205467.42599999998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7996.3</v>
      </c>
      <c r="I245" s="18"/>
      <c r="J245" s="18"/>
      <c r="K245" s="18"/>
      <c r="L245" s="19">
        <f>SUM(F245:K245)</f>
        <v>7996.3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1369223.402</v>
      </c>
      <c r="G247" s="41">
        <f t="shared" si="5"/>
        <v>626332.34600000002</v>
      </c>
      <c r="H247" s="41">
        <f t="shared" si="5"/>
        <v>473057.82600000006</v>
      </c>
      <c r="I247" s="41">
        <f t="shared" si="5"/>
        <v>166850.99199999997</v>
      </c>
      <c r="J247" s="41">
        <f t="shared" si="5"/>
        <v>14406.97</v>
      </c>
      <c r="K247" s="41">
        <f t="shared" si="5"/>
        <v>4795.2260000000006</v>
      </c>
      <c r="L247" s="41">
        <f t="shared" si="5"/>
        <v>2654666.7619999996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4115727.8600000003</v>
      </c>
      <c r="G257" s="41">
        <f t="shared" si="8"/>
        <v>1958998.21</v>
      </c>
      <c r="H257" s="41">
        <f t="shared" si="8"/>
        <v>1907558.78</v>
      </c>
      <c r="I257" s="41">
        <f t="shared" si="8"/>
        <v>451944.77999999997</v>
      </c>
      <c r="J257" s="41">
        <f t="shared" si="8"/>
        <v>41066.69</v>
      </c>
      <c r="K257" s="41">
        <f t="shared" si="8"/>
        <v>11987.49</v>
      </c>
      <c r="L257" s="41">
        <f t="shared" si="8"/>
        <v>8487283.8100000005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275000</v>
      </c>
      <c r="L260" s="19">
        <f>SUM(F260:K260)</f>
        <v>275000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74346.5</v>
      </c>
      <c r="L261" s="19">
        <f>SUM(F261:K261)</f>
        <v>74346.5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54919.79</v>
      </c>
      <c r="L263" s="19">
        <f>SUM(F263:K263)</f>
        <v>54919.79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105000</v>
      </c>
      <c r="L266" s="19">
        <f t="shared" si="9"/>
        <v>105000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509266.29</v>
      </c>
      <c r="L270" s="41">
        <f t="shared" si="9"/>
        <v>509266.29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4115727.8600000003</v>
      </c>
      <c r="G271" s="42">
        <f t="shared" si="11"/>
        <v>1958998.21</v>
      </c>
      <c r="H271" s="42">
        <f t="shared" si="11"/>
        <v>1907558.78</v>
      </c>
      <c r="I271" s="42">
        <f t="shared" si="11"/>
        <v>451944.77999999997</v>
      </c>
      <c r="J271" s="42">
        <f t="shared" si="11"/>
        <v>41066.69</v>
      </c>
      <c r="K271" s="42">
        <f t="shared" si="11"/>
        <v>521253.77999999997</v>
      </c>
      <c r="L271" s="42">
        <f t="shared" si="11"/>
        <v>8996550.0999999996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68441.259999999995</v>
      </c>
      <c r="G276" s="18">
        <v>23027.05</v>
      </c>
      <c r="H276" s="18">
        <v>2600.88</v>
      </c>
      <c r="I276" s="18">
        <v>3258.61</v>
      </c>
      <c r="J276" s="18"/>
      <c r="K276" s="18"/>
      <c r="L276" s="19">
        <f>SUM(F276:K276)</f>
        <v>97327.8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2700</v>
      </c>
      <c r="G277" s="18">
        <v>202.5</v>
      </c>
      <c r="H277" s="18"/>
      <c r="I277" s="18"/>
      <c r="J277" s="18"/>
      <c r="K277" s="18"/>
      <c r="L277" s="19">
        <f>SUM(F277:K277)</f>
        <v>2902.5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10933.75</v>
      </c>
      <c r="G282" s="18">
        <f>747.41+1396.07</f>
        <v>2143.48</v>
      </c>
      <c r="H282" s="18">
        <v>21811.87</v>
      </c>
      <c r="I282" s="18">
        <f>589.46+1684.15</f>
        <v>2273.61</v>
      </c>
      <c r="J282" s="18"/>
      <c r="K282" s="18"/>
      <c r="L282" s="19">
        <f t="shared" si="12"/>
        <v>37162.71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1605.4</v>
      </c>
      <c r="G283" s="18">
        <v>350.13</v>
      </c>
      <c r="H283" s="18"/>
      <c r="I283" s="18"/>
      <c r="J283" s="18"/>
      <c r="K283" s="18"/>
      <c r="L283" s="19">
        <f t="shared" si="12"/>
        <v>1955.5300000000002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949.72</v>
      </c>
      <c r="L285" s="19">
        <f t="shared" si="12"/>
        <v>949.72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83680.409999999989</v>
      </c>
      <c r="G290" s="42">
        <f t="shared" si="13"/>
        <v>25723.16</v>
      </c>
      <c r="H290" s="42">
        <f t="shared" si="13"/>
        <v>24412.75</v>
      </c>
      <c r="I290" s="42">
        <f t="shared" si="13"/>
        <v>5532.22</v>
      </c>
      <c r="J290" s="42">
        <f t="shared" si="13"/>
        <v>0</v>
      </c>
      <c r="K290" s="42">
        <f t="shared" si="13"/>
        <v>949.72</v>
      </c>
      <c r="L290" s="41">
        <f t="shared" si="13"/>
        <v>140298.26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89854.37</v>
      </c>
      <c r="G295" s="18">
        <v>32145.96</v>
      </c>
      <c r="H295" s="18">
        <f>1229.71+2977.55</f>
        <v>4207.26</v>
      </c>
      <c r="I295" s="18">
        <v>11561.87</v>
      </c>
      <c r="J295" s="18">
        <v>27966.59</v>
      </c>
      <c r="K295" s="18"/>
      <c r="L295" s="19">
        <f>SUM(F295:K295)</f>
        <v>165736.04999999999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f>4520.89+43366.17+100</f>
        <v>47987.06</v>
      </c>
      <c r="I301" s="18">
        <v>309.48</v>
      </c>
      <c r="J301" s="18"/>
      <c r="K301" s="18"/>
      <c r="L301" s="19">
        <f t="shared" si="14"/>
        <v>48296.54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1496.58</v>
      </c>
      <c r="L304" s="19">
        <f t="shared" si="14"/>
        <v>1496.58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89854.37</v>
      </c>
      <c r="G309" s="42">
        <f t="shared" si="15"/>
        <v>32145.96</v>
      </c>
      <c r="H309" s="42">
        <f t="shared" si="15"/>
        <v>52194.32</v>
      </c>
      <c r="I309" s="42">
        <f t="shared" si="15"/>
        <v>11871.35</v>
      </c>
      <c r="J309" s="42">
        <f t="shared" si="15"/>
        <v>27966.59</v>
      </c>
      <c r="K309" s="42">
        <f t="shared" si="15"/>
        <v>1496.58</v>
      </c>
      <c r="L309" s="41">
        <f t="shared" si="15"/>
        <v>215529.16999999998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10611.38+34975.39</f>
        <v>45586.77</v>
      </c>
      <c r="G314" s="18">
        <f>2314.37+12593.22</f>
        <v>14907.59</v>
      </c>
      <c r="H314" s="18">
        <f>13170.62+1229.74+2289.15</f>
        <v>16689.510000000002</v>
      </c>
      <c r="I314" s="18">
        <f>7265.12+2230.17+16442.03</f>
        <v>25937.32</v>
      </c>
      <c r="J314" s="18">
        <v>34135.01</v>
      </c>
      <c r="K314" s="18"/>
      <c r="L314" s="19">
        <f>SUM(F314:K314)</f>
        <v>137256.20000000001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f>6134</f>
        <v>6134</v>
      </c>
      <c r="I315" s="18"/>
      <c r="J315" s="18"/>
      <c r="K315" s="18">
        <v>300</v>
      </c>
      <c r="L315" s="19">
        <f>SUM(F315:K315)</f>
        <v>6434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v>199</v>
      </c>
      <c r="J317" s="18"/>
      <c r="K317" s="18"/>
      <c r="L317" s="19">
        <f>SUM(F317:K317)</f>
        <v>199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650</v>
      </c>
      <c r="I319" s="18">
        <v>1373.35</v>
      </c>
      <c r="J319" s="18"/>
      <c r="K319" s="18"/>
      <c r="L319" s="19">
        <f t="shared" ref="L319:L325" si="16">SUM(F319:K319)</f>
        <v>2023.35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1500+1500+750</f>
        <v>3750</v>
      </c>
      <c r="G320" s="18">
        <f>327.15+114.75</f>
        <v>441.9</v>
      </c>
      <c r="H320" s="18">
        <f>5634.54+21304.19+40581.36+1391.72</f>
        <v>68911.81</v>
      </c>
      <c r="I320" s="18">
        <f>320.92+177.19</f>
        <v>498.11</v>
      </c>
      <c r="J320" s="18"/>
      <c r="K320" s="18"/>
      <c r="L320" s="19">
        <f t="shared" si="16"/>
        <v>73601.819999999992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>
        <v>57.38</v>
      </c>
      <c r="H321" s="18"/>
      <c r="I321" s="18"/>
      <c r="J321" s="18"/>
      <c r="K321" s="18"/>
      <c r="L321" s="19">
        <f t="shared" si="16"/>
        <v>57.38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8000.1</v>
      </c>
      <c r="L323" s="19">
        <f t="shared" si="16"/>
        <v>8000.1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49336.77</v>
      </c>
      <c r="G328" s="42">
        <f t="shared" si="17"/>
        <v>15406.869999999999</v>
      </c>
      <c r="H328" s="42">
        <f t="shared" si="17"/>
        <v>92385.32</v>
      </c>
      <c r="I328" s="42">
        <f t="shared" si="17"/>
        <v>28007.78</v>
      </c>
      <c r="J328" s="42">
        <f t="shared" si="17"/>
        <v>34135.01</v>
      </c>
      <c r="K328" s="42">
        <f t="shared" si="17"/>
        <v>8300.1</v>
      </c>
      <c r="L328" s="41">
        <f t="shared" si="17"/>
        <v>227571.85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222871.54999999996</v>
      </c>
      <c r="G338" s="41">
        <f t="shared" si="20"/>
        <v>73275.989999999991</v>
      </c>
      <c r="H338" s="41">
        <f t="shared" si="20"/>
        <v>168992.39</v>
      </c>
      <c r="I338" s="41">
        <f t="shared" si="20"/>
        <v>45411.35</v>
      </c>
      <c r="J338" s="41">
        <f t="shared" si="20"/>
        <v>62101.600000000006</v>
      </c>
      <c r="K338" s="41">
        <f t="shared" si="20"/>
        <v>10746.400000000001</v>
      </c>
      <c r="L338" s="41">
        <f t="shared" si="20"/>
        <v>583399.28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222871.54999999996</v>
      </c>
      <c r="G352" s="41">
        <f>G338</f>
        <v>73275.989999999991</v>
      </c>
      <c r="H352" s="41">
        <f>H338</f>
        <v>168992.39</v>
      </c>
      <c r="I352" s="41">
        <f>I338</f>
        <v>45411.35</v>
      </c>
      <c r="J352" s="41">
        <f>J338</f>
        <v>62101.600000000006</v>
      </c>
      <c r="K352" s="47">
        <f>K338+K351</f>
        <v>10746.400000000001</v>
      </c>
      <c r="L352" s="41">
        <f>L338+L351</f>
        <v>583399.28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110613.8</v>
      </c>
      <c r="I358" s="18"/>
      <c r="J358" s="18"/>
      <c r="K358" s="18"/>
      <c r="L358" s="13">
        <f>SUM(F358:K358)</f>
        <v>110613.8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>
        <v>532.79</v>
      </c>
      <c r="H359" s="18">
        <v>88596.02</v>
      </c>
      <c r="I359" s="18">
        <v>1304.3499999999999</v>
      </c>
      <c r="J359" s="18"/>
      <c r="K359" s="18"/>
      <c r="L359" s="19">
        <f>SUM(F359:K359)</f>
        <v>90433.16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83190.509999999995</v>
      </c>
      <c r="I360" s="18"/>
      <c r="J360" s="18"/>
      <c r="K360" s="18"/>
      <c r="L360" s="19">
        <f>SUM(F360:K360)</f>
        <v>83190.509999999995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532.79</v>
      </c>
      <c r="H362" s="47">
        <f t="shared" si="22"/>
        <v>282400.33</v>
      </c>
      <c r="I362" s="47">
        <f t="shared" si="22"/>
        <v>1304.3499999999999</v>
      </c>
      <c r="J362" s="47">
        <f t="shared" si="22"/>
        <v>0</v>
      </c>
      <c r="K362" s="47">
        <f t="shared" si="22"/>
        <v>0</v>
      </c>
      <c r="L362" s="47">
        <f t="shared" si="22"/>
        <v>284237.47000000003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>
        <v>142.03</v>
      </c>
      <c r="H367" s="18"/>
      <c r="I367" s="56">
        <f>SUM(F367:H367)</f>
        <v>142.03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>
        <v>1162.32</v>
      </c>
      <c r="H368" s="63"/>
      <c r="I368" s="56">
        <f>SUM(F368:H368)</f>
        <v>1162.32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1304.3499999999999</v>
      </c>
      <c r="H369" s="47">
        <f>SUM(H367:H368)</f>
        <v>0</v>
      </c>
      <c r="I369" s="47">
        <f>SUM(I367:I368)</f>
        <v>1304.3499999999999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50000</v>
      </c>
      <c r="H389" s="18"/>
      <c r="I389" s="18"/>
      <c r="J389" s="24" t="s">
        <v>289</v>
      </c>
      <c r="K389" s="24" t="s">
        <v>289</v>
      </c>
      <c r="L389" s="56">
        <f t="shared" si="25"/>
        <v>50000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50000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/>
      <c r="I397" s="18"/>
      <c r="J397" s="24" t="s">
        <v>289</v>
      </c>
      <c r="K397" s="24" t="s">
        <v>289</v>
      </c>
      <c r="L397" s="56">
        <f t="shared" si="26"/>
        <v>25000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30000</v>
      </c>
      <c r="H400" s="18"/>
      <c r="I400" s="18"/>
      <c r="J400" s="24" t="s">
        <v>289</v>
      </c>
      <c r="K400" s="24" t="s">
        <v>289</v>
      </c>
      <c r="L400" s="56">
        <f t="shared" si="26"/>
        <v>30000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105000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105000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45923.26</v>
      </c>
      <c r="I426" s="18"/>
      <c r="J426" s="18"/>
      <c r="K426" s="18"/>
      <c r="L426" s="56">
        <f t="shared" si="29"/>
        <v>45923.26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45923.26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45923.26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45923.26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45923.26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92781.06</v>
      </c>
      <c r="G440" s="18">
        <f>60705.92+11049.16+1985.2+101765.04</f>
        <v>175505.32</v>
      </c>
      <c r="H440" s="18"/>
      <c r="I440" s="56">
        <f t="shared" si="33"/>
        <v>268286.38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92781.06</v>
      </c>
      <c r="G446" s="13">
        <f>SUM(G439:G445)</f>
        <v>175505.32</v>
      </c>
      <c r="H446" s="13">
        <f>SUM(H439:H445)</f>
        <v>0</v>
      </c>
      <c r="I446" s="13">
        <f>SUM(I439:I445)</f>
        <v>268286.38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92781.06</v>
      </c>
      <c r="G459" s="18">
        <v>175505.32</v>
      </c>
      <c r="H459" s="18"/>
      <c r="I459" s="56">
        <f t="shared" si="34"/>
        <v>268286.38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92781.06</v>
      </c>
      <c r="G460" s="83">
        <f>SUM(G454:G459)</f>
        <v>175505.32</v>
      </c>
      <c r="H460" s="83">
        <f>SUM(H454:H459)</f>
        <v>0</v>
      </c>
      <c r="I460" s="83">
        <f>SUM(I454:I459)</f>
        <v>268286.38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92781.06</v>
      </c>
      <c r="G461" s="42">
        <f>G452+G460</f>
        <v>175505.32</v>
      </c>
      <c r="H461" s="42">
        <f>H452+H460</f>
        <v>0</v>
      </c>
      <c r="I461" s="42">
        <f>I452+I460</f>
        <v>268286.38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467603</v>
      </c>
      <c r="G465" s="18">
        <v>0</v>
      </c>
      <c r="H465" s="18">
        <v>0</v>
      </c>
      <c r="I465" s="18">
        <v>194338</v>
      </c>
      <c r="J465" s="18">
        <v>206298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8804765.1400000006</v>
      </c>
      <c r="G468" s="18">
        <f>271841.52+12395.95</f>
        <v>284237.47000000003</v>
      </c>
      <c r="H468" s="18">
        <v>583399.28</v>
      </c>
      <c r="I468" s="18"/>
      <c r="J468" s="18">
        <v>105000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2911.64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8804765.1400000006</v>
      </c>
      <c r="G470" s="53">
        <f>SUM(G468:G469)</f>
        <v>284237.47000000003</v>
      </c>
      <c r="H470" s="53">
        <f>SUM(H468:H469)</f>
        <v>583399.28</v>
      </c>
      <c r="I470" s="53">
        <f>SUM(I468:I469)</f>
        <v>0</v>
      </c>
      <c r="J470" s="53">
        <f>SUM(J468:J469)</f>
        <v>107911.64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8996550.0999999996</v>
      </c>
      <c r="G472" s="18">
        <v>284237.46999999997</v>
      </c>
      <c r="H472" s="18">
        <v>583399.28</v>
      </c>
      <c r="I472" s="18"/>
      <c r="J472" s="18">
        <v>45923.26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35557.22</v>
      </c>
      <c r="G473" s="18"/>
      <c r="H473" s="18"/>
      <c r="I473" s="18">
        <v>194338</v>
      </c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9032107.3200000003</v>
      </c>
      <c r="G474" s="53">
        <f>SUM(G472:G473)</f>
        <v>284237.46999999997</v>
      </c>
      <c r="H474" s="53">
        <f>SUM(H472:H473)</f>
        <v>583399.28</v>
      </c>
      <c r="I474" s="53">
        <f>SUM(I472:I473)</f>
        <v>194338</v>
      </c>
      <c r="J474" s="53">
        <f>SUM(J472:J473)</f>
        <v>45923.26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240260.8200000003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268286.38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911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915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4097790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1900000</v>
      </c>
      <c r="G495" s="18"/>
      <c r="H495" s="18"/>
      <c r="I495" s="18"/>
      <c r="J495" s="18"/>
      <c r="K495" s="53">
        <f>SUM(F495:J495)</f>
        <v>1900000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275000</v>
      </c>
      <c r="G497" s="18"/>
      <c r="H497" s="18"/>
      <c r="I497" s="18"/>
      <c r="J497" s="18"/>
      <c r="K497" s="53">
        <f t="shared" si="35"/>
        <v>275000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1625000</v>
      </c>
      <c r="G498" s="204"/>
      <c r="H498" s="204"/>
      <c r="I498" s="204"/>
      <c r="J498" s="204"/>
      <c r="K498" s="205">
        <f t="shared" si="35"/>
        <v>1625000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204332.5</v>
      </c>
      <c r="G499" s="18"/>
      <c r="H499" s="18"/>
      <c r="I499" s="18"/>
      <c r="J499" s="18"/>
      <c r="K499" s="53">
        <f t="shared" si="35"/>
        <v>204332.5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1829332.5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1829332.5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275000</v>
      </c>
      <c r="G501" s="204"/>
      <c r="H501" s="204"/>
      <c r="I501" s="204"/>
      <c r="J501" s="204"/>
      <c r="K501" s="205">
        <f t="shared" si="35"/>
        <v>275000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34556.75+30273.75</f>
        <v>64830.5</v>
      </c>
      <c r="G502" s="18"/>
      <c r="H502" s="18"/>
      <c r="I502" s="18"/>
      <c r="J502" s="18"/>
      <c r="K502" s="53">
        <f t="shared" si="35"/>
        <v>64830.5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339830.5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339830.5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345051.85</v>
      </c>
      <c r="G521" s="18">
        <v>162853.92000000001</v>
      </c>
      <c r="H521" s="18">
        <v>293049.32</v>
      </c>
      <c r="I521" s="18">
        <v>643.71</v>
      </c>
      <c r="J521" s="18">
        <v>275.36</v>
      </c>
      <c r="K521" s="18"/>
      <c r="L521" s="88">
        <f>SUM(F521:K521)</f>
        <v>801874.16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147880.21</v>
      </c>
      <c r="G522" s="18">
        <v>109174.25</v>
      </c>
      <c r="H522" s="18">
        <v>109198.13</v>
      </c>
      <c r="I522" s="18">
        <v>1578.4</v>
      </c>
      <c r="J522" s="18">
        <v>498</v>
      </c>
      <c r="K522" s="18"/>
      <c r="L522" s="88">
        <f>SUM(F522:K522)</f>
        <v>368328.99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229075.41</v>
      </c>
      <c r="G523" s="18">
        <v>106555.04</v>
      </c>
      <c r="H523" s="18">
        <v>233222.04</v>
      </c>
      <c r="I523" s="18">
        <v>1715.14</v>
      </c>
      <c r="J523" s="18">
        <v>28.69</v>
      </c>
      <c r="K523" s="18">
        <v>300</v>
      </c>
      <c r="L523" s="88">
        <f>SUM(F523:K523)</f>
        <v>570896.31999999995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722007.47</v>
      </c>
      <c r="G524" s="108">
        <f t="shared" ref="G524:L524" si="36">SUM(G521:G523)</f>
        <v>378583.21</v>
      </c>
      <c r="H524" s="108">
        <f t="shared" si="36"/>
        <v>635469.49</v>
      </c>
      <c r="I524" s="108">
        <f t="shared" si="36"/>
        <v>3937.25</v>
      </c>
      <c r="J524" s="108">
        <f t="shared" si="36"/>
        <v>802.05000000000007</v>
      </c>
      <c r="K524" s="108">
        <f t="shared" si="36"/>
        <v>300</v>
      </c>
      <c r="L524" s="89">
        <f t="shared" si="36"/>
        <v>1741099.4699999997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241870.57</v>
      </c>
      <c r="I526" s="18"/>
      <c r="J526" s="18"/>
      <c r="K526" s="18"/>
      <c r="L526" s="88">
        <f>SUM(F526:K526)</f>
        <v>241870.57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2417.6799999999998</v>
      </c>
      <c r="I527" s="18"/>
      <c r="J527" s="18"/>
      <c r="K527" s="18"/>
      <c r="L527" s="88">
        <f>SUM(F527:K527)</f>
        <v>2417.6799999999998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40218.82</v>
      </c>
      <c r="I528" s="18"/>
      <c r="J528" s="18"/>
      <c r="K528" s="18"/>
      <c r="L528" s="88">
        <f>SUM(F528:K528)</f>
        <v>40218.82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284507.07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284507.07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20093.7</v>
      </c>
      <c r="G531" s="18">
        <v>9067.24</v>
      </c>
      <c r="H531" s="18"/>
      <c r="I531" s="18"/>
      <c r="J531" s="18"/>
      <c r="K531" s="18"/>
      <c r="L531" s="88">
        <f>SUM(F531:K531)</f>
        <v>29160.940000000002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8299.0499999999993</v>
      </c>
      <c r="G532" s="18">
        <v>4620.91</v>
      </c>
      <c r="H532" s="18"/>
      <c r="I532" s="18"/>
      <c r="J532" s="18"/>
      <c r="K532" s="18"/>
      <c r="L532" s="88">
        <f>SUM(F532:K532)</f>
        <v>12919.96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10206.07</v>
      </c>
      <c r="G533" s="18">
        <v>6442.26</v>
      </c>
      <c r="H533" s="18"/>
      <c r="I533" s="18"/>
      <c r="J533" s="18"/>
      <c r="K533" s="18"/>
      <c r="L533" s="88">
        <f>SUM(F533:K533)</f>
        <v>16648.330000000002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38598.82</v>
      </c>
      <c r="G534" s="89">
        <f t="shared" ref="G534:L534" si="38">SUM(G531:G533)</f>
        <v>20130.41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58729.23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f>31368.52</f>
        <v>31368.52</v>
      </c>
      <c r="G541" s="18">
        <f>2082.17+285.98</f>
        <v>2368.15</v>
      </c>
      <c r="H541" s="18">
        <f>17587</f>
        <v>17587</v>
      </c>
      <c r="I541" s="18"/>
      <c r="J541" s="18"/>
      <c r="K541" s="18"/>
      <c r="L541" s="88">
        <f>SUM(F541:K541)</f>
        <v>51323.67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f>46922.35*0.4</f>
        <v>18768.939999999999</v>
      </c>
      <c r="G542" s="18">
        <f>3201.26*0.4</f>
        <v>1280.5040000000001</v>
      </c>
      <c r="H542" s="18">
        <f>2635.8*0.4</f>
        <v>1054.3200000000002</v>
      </c>
      <c r="I542" s="18"/>
      <c r="J542" s="18"/>
      <c r="K542" s="18"/>
      <c r="L542" s="88">
        <f>SUM(F542:K542)</f>
        <v>21103.763999999999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f>46922.5*0.6</f>
        <v>28153.5</v>
      </c>
      <c r="G543" s="18">
        <f>3201.26*0.6</f>
        <v>1920.7560000000001</v>
      </c>
      <c r="H543" s="18">
        <f>2635.8*0.6</f>
        <v>1581.48</v>
      </c>
      <c r="I543" s="18"/>
      <c r="J543" s="18"/>
      <c r="K543" s="18"/>
      <c r="L543" s="88">
        <f>SUM(F543:K543)</f>
        <v>31655.736000000001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78290.959999999992</v>
      </c>
      <c r="G544" s="193">
        <f t="shared" ref="G544:L544" si="40">SUM(G541:G543)</f>
        <v>5569.4100000000008</v>
      </c>
      <c r="H544" s="193">
        <f t="shared" si="40"/>
        <v>20222.8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104083.17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838897.24999999988</v>
      </c>
      <c r="G545" s="89">
        <f t="shared" ref="G545:L545" si="41">G524+G529+G534+G539+G544</f>
        <v>404283.02999999997</v>
      </c>
      <c r="H545" s="89">
        <f t="shared" si="41"/>
        <v>940199.3600000001</v>
      </c>
      <c r="I545" s="89">
        <f t="shared" si="41"/>
        <v>3937.25</v>
      </c>
      <c r="J545" s="89">
        <f t="shared" si="41"/>
        <v>802.05000000000007</v>
      </c>
      <c r="K545" s="89">
        <f t="shared" si="41"/>
        <v>300</v>
      </c>
      <c r="L545" s="89">
        <f t="shared" si="41"/>
        <v>2188418.94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801874.16</v>
      </c>
      <c r="G549" s="87">
        <f>L526</f>
        <v>241870.57</v>
      </c>
      <c r="H549" s="87">
        <f>L531</f>
        <v>29160.940000000002</v>
      </c>
      <c r="I549" s="87">
        <f>L536</f>
        <v>0</v>
      </c>
      <c r="J549" s="87">
        <f>L541</f>
        <v>51323.67</v>
      </c>
      <c r="K549" s="87">
        <f>SUM(F549:J549)</f>
        <v>1124229.3399999999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368328.99</v>
      </c>
      <c r="G550" s="87">
        <f>L527</f>
        <v>2417.6799999999998</v>
      </c>
      <c r="H550" s="87">
        <f>L532</f>
        <v>12919.96</v>
      </c>
      <c r="I550" s="87">
        <f>L537</f>
        <v>0</v>
      </c>
      <c r="J550" s="87">
        <f>L542</f>
        <v>21103.763999999999</v>
      </c>
      <c r="K550" s="87">
        <f>SUM(F550:J550)</f>
        <v>404770.39400000003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570896.31999999995</v>
      </c>
      <c r="G551" s="87">
        <f>L528</f>
        <v>40218.82</v>
      </c>
      <c r="H551" s="87">
        <f>L533</f>
        <v>16648.330000000002</v>
      </c>
      <c r="I551" s="87">
        <f>L538</f>
        <v>0</v>
      </c>
      <c r="J551" s="87">
        <f>L543</f>
        <v>31655.736000000001</v>
      </c>
      <c r="K551" s="87">
        <f>SUM(F551:J551)</f>
        <v>659419.20599999989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1741099.4699999997</v>
      </c>
      <c r="G552" s="89">
        <f t="shared" si="42"/>
        <v>284507.07</v>
      </c>
      <c r="H552" s="89">
        <f t="shared" si="42"/>
        <v>58729.23</v>
      </c>
      <c r="I552" s="89">
        <f t="shared" si="42"/>
        <v>0</v>
      </c>
      <c r="J552" s="89">
        <f t="shared" si="42"/>
        <v>104083.17</v>
      </c>
      <c r="K552" s="89">
        <f t="shared" si="42"/>
        <v>2188418.94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14358</v>
      </c>
      <c r="I575" s="87">
        <f>SUM(F575:H575)</f>
        <v>14358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203527.78</v>
      </c>
      <c r="G579" s="18">
        <v>55281.53</v>
      </c>
      <c r="H579" s="18">
        <v>20749.86</v>
      </c>
      <c r="I579" s="87">
        <f t="shared" si="47"/>
        <v>279559.17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87922.97</v>
      </c>
      <c r="G582" s="18">
        <v>51142.34</v>
      </c>
      <c r="H582" s="18">
        <v>204984.15</v>
      </c>
      <c r="I582" s="87">
        <f t="shared" si="47"/>
        <v>344049.45999999996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20559.740000000002</v>
      </c>
      <c r="I584" s="87">
        <f t="shared" si="47"/>
        <v>20559.740000000002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L208-H592-H593-H594-H595-H596-H597</f>
        <v>159391.02000000002</v>
      </c>
      <c r="I591" s="18">
        <f>L226-I592-I593-I594-I595-I596-I597</f>
        <v>91291.150000000009</v>
      </c>
      <c r="J591" s="18">
        <f>L244-J592-J593-J594-J595-J596-J597</f>
        <v>143224.54999999999</v>
      </c>
      <c r="K591" s="104">
        <f t="shared" ref="K591:K597" si="48">SUM(H591:J591)</f>
        <v>393906.72000000003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L541</f>
        <v>51323.67</v>
      </c>
      <c r="I592" s="18">
        <f>L542</f>
        <v>21103.763999999999</v>
      </c>
      <c r="J592" s="18">
        <f>L543</f>
        <v>31655.736000000001</v>
      </c>
      <c r="K592" s="104">
        <f t="shared" si="48"/>
        <v>104083.17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25528.92+1910.3+429.03+2718.89</f>
        <v>30587.139999999996</v>
      </c>
      <c r="K593" s="104">
        <f t="shared" si="48"/>
        <v>30587.139999999996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8442.52+632.79+753.49+6093.74</f>
        <v>15922.54</v>
      </c>
      <c r="J594" s="18"/>
      <c r="K594" s="104">
        <f t="shared" si="48"/>
        <v>15922.54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f>7829.62+587.35+243.86</f>
        <v>8660.83</v>
      </c>
      <c r="J595" s="18"/>
      <c r="K595" s="104">
        <f t="shared" si="48"/>
        <v>8660.83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210714.69</v>
      </c>
      <c r="I598" s="108">
        <f>SUM(I591:I597)</f>
        <v>136978.28399999999</v>
      </c>
      <c r="J598" s="108">
        <f>SUM(J591:J597)</f>
        <v>205467.42599999998</v>
      </c>
      <c r="K598" s="108">
        <f>SUM(K591:K597)</f>
        <v>553160.4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21411.5</v>
      </c>
      <c r="I604" s="18">
        <f>J229+J309</f>
        <v>33214.81</v>
      </c>
      <c r="J604" s="18">
        <f>J247+J328</f>
        <v>48541.98</v>
      </c>
      <c r="K604" s="104">
        <f>SUM(H604:J604)</f>
        <v>103168.29000000001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21411.5</v>
      </c>
      <c r="I605" s="108">
        <f>SUM(I602:I604)</f>
        <v>33214.81</v>
      </c>
      <c r="J605" s="108">
        <f>SUM(J602:J604)</f>
        <v>48541.98</v>
      </c>
      <c r="K605" s="108">
        <f>SUM(K602:K604)</f>
        <v>103168.29000000001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4437.5+6137.5</f>
        <v>10575</v>
      </c>
      <c r="G611" s="18">
        <f>10575*0.0765</f>
        <v>808.98749999999995</v>
      </c>
      <c r="H611" s="18">
        <v>2258.7800000000002</v>
      </c>
      <c r="I611" s="18">
        <v>199</v>
      </c>
      <c r="J611" s="18"/>
      <c r="K611" s="18"/>
      <c r="L611" s="88">
        <f>SUM(F611:K611)</f>
        <v>13841.7675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2932.5+5960</f>
        <v>8892.5</v>
      </c>
      <c r="G612" s="18">
        <f>8892.5*0.0765</f>
        <v>680.27625</v>
      </c>
      <c r="H612" s="18"/>
      <c r="I612" s="18"/>
      <c r="J612" s="18"/>
      <c r="K612" s="18"/>
      <c r="L612" s="88">
        <f>SUM(F612:K612)</f>
        <v>9572.7762500000008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1760</f>
        <v>1760</v>
      </c>
      <c r="G613" s="18">
        <f>1760*0.0765</f>
        <v>134.63999999999999</v>
      </c>
      <c r="H613" s="18"/>
      <c r="I613" s="18"/>
      <c r="J613" s="18"/>
      <c r="K613" s="18"/>
      <c r="L613" s="88">
        <f>SUM(F613:K613)</f>
        <v>1894.6399999999999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21227.5</v>
      </c>
      <c r="G614" s="108">
        <f t="shared" si="49"/>
        <v>1623.9037499999999</v>
      </c>
      <c r="H614" s="108">
        <f t="shared" si="49"/>
        <v>2258.7800000000002</v>
      </c>
      <c r="I614" s="108">
        <f t="shared" si="49"/>
        <v>199</v>
      </c>
      <c r="J614" s="108">
        <f t="shared" si="49"/>
        <v>0</v>
      </c>
      <c r="K614" s="108">
        <f t="shared" si="49"/>
        <v>0</v>
      </c>
      <c r="L614" s="89">
        <f t="shared" si="49"/>
        <v>25309.18375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344052.55999999994</v>
      </c>
      <c r="H617" s="109">
        <f>SUM(F52)</f>
        <v>344052.55999999994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12395.95</v>
      </c>
      <c r="H618" s="109">
        <f>SUM(G52)</f>
        <v>12395.95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4395.49</v>
      </c>
      <c r="H619" s="109">
        <f>SUM(H52)</f>
        <v>4395.489999999998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268286.38</v>
      </c>
      <c r="H621" s="109">
        <f>SUM(J52)</f>
        <v>268286.38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240260.81999999995</v>
      </c>
      <c r="H622" s="109">
        <f>F476</f>
        <v>240260.8200000003</v>
      </c>
      <c r="I622" s="121" t="s">
        <v>101</v>
      </c>
      <c r="J622" s="109">
        <f t="shared" ref="J622:J655" si="50">G622-H622</f>
        <v>-3.4924596548080444E-10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268286.38</v>
      </c>
      <c r="H626" s="109">
        <f>J476</f>
        <v>268286.38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8804765.1399999987</v>
      </c>
      <c r="H627" s="104">
        <f>SUM(F468)</f>
        <v>8804765.1400000006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284237.46999999997</v>
      </c>
      <c r="H628" s="104">
        <f>SUM(G468)</f>
        <v>284237.47000000003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583399.28</v>
      </c>
      <c r="H629" s="104">
        <f>SUM(H468)</f>
        <v>583399.28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105000</v>
      </c>
      <c r="H631" s="104">
        <f>SUM(J468)</f>
        <v>105000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8996550.0999999996</v>
      </c>
      <c r="H632" s="104">
        <f>SUM(F472)</f>
        <v>8996550.0999999996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583399.28</v>
      </c>
      <c r="H633" s="104">
        <f>SUM(H472)</f>
        <v>583399.28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1304.3499999999999</v>
      </c>
      <c r="H634" s="104">
        <f>I369</f>
        <v>1304.3499999999999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284237.47000000003</v>
      </c>
      <c r="H635" s="104">
        <f>SUM(G472)</f>
        <v>284237.46999999997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105000</v>
      </c>
      <c r="H637" s="164">
        <f>SUM(J468)</f>
        <v>105000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45923.26</v>
      </c>
      <c r="H638" s="164">
        <f>SUM(J472)</f>
        <v>45923.26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92781.06</v>
      </c>
      <c r="H639" s="104">
        <f>SUM(F461)</f>
        <v>92781.06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175505.32</v>
      </c>
      <c r="H640" s="104">
        <f>SUM(G461)</f>
        <v>175505.32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268286.38</v>
      </c>
      <c r="H642" s="104">
        <f>SUM(I461)</f>
        <v>268286.38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105000</v>
      </c>
      <c r="H645" s="104">
        <f>G408</f>
        <v>105000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105000</v>
      </c>
      <c r="H646" s="104">
        <f>L408</f>
        <v>105000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553160.4</v>
      </c>
      <c r="H647" s="104">
        <f>L208+L226+L244</f>
        <v>553160.4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103168.29000000001</v>
      </c>
      <c r="H648" s="104">
        <f>(J257+J338)-(J255+J336)</f>
        <v>103168.29000000001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210714.69</v>
      </c>
      <c r="H649" s="104">
        <f>H598</f>
        <v>210714.69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136978.28400000001</v>
      </c>
      <c r="H650" s="104">
        <f>I598</f>
        <v>136978.28399999999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205467.42599999998</v>
      </c>
      <c r="H651" s="104">
        <f>J598</f>
        <v>205467.42599999998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54919.79</v>
      </c>
      <c r="H652" s="104">
        <f>K263+K345</f>
        <v>54919.79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105000</v>
      </c>
      <c r="H655" s="104">
        <f>K266+K347</f>
        <v>105000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4009570.9400000004</v>
      </c>
      <c r="G660" s="19">
        <f>(L229+L309+L359)</f>
        <v>2379920.4980000001</v>
      </c>
      <c r="H660" s="19">
        <f>(L247+L328+L360)</f>
        <v>2965429.1219999995</v>
      </c>
      <c r="I660" s="19">
        <f>SUM(F660:H660)</f>
        <v>9354920.5600000005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37230.424850298587</v>
      </c>
      <c r="G661" s="19">
        <f>(L359/IF(SUM(L358:L360)=0,1,SUM(L358:L360))*(SUM(G97:G110)))</f>
        <v>30438.019192497031</v>
      </c>
      <c r="H661" s="19">
        <f>(L360/IF(SUM(L358:L360)=0,1,SUM(L358:L360))*(SUM(G97:G110)))</f>
        <v>28000.285957204371</v>
      </c>
      <c r="I661" s="19">
        <f>SUM(F661:H661)</f>
        <v>95668.729999999981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210714.69</v>
      </c>
      <c r="G662" s="19">
        <f>(L226+L306)-(J226+J306)</f>
        <v>136978.28400000001</v>
      </c>
      <c r="H662" s="19">
        <f>(L244+L325)-(J244+J325)</f>
        <v>205467.42599999998</v>
      </c>
      <c r="I662" s="19">
        <f>SUM(F662:H662)</f>
        <v>553160.4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326704.01750000002</v>
      </c>
      <c r="G663" s="199">
        <f>SUM(G575:G587)+SUM(I602:I604)+L612</f>
        <v>149211.45624999999</v>
      </c>
      <c r="H663" s="199">
        <f>SUM(H575:H587)+SUM(J602:J604)+L613</f>
        <v>311088.37</v>
      </c>
      <c r="I663" s="19">
        <f>SUM(F663:H663)</f>
        <v>787003.84375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3434921.8076497018</v>
      </c>
      <c r="G664" s="19">
        <f>G660-SUM(G661:G663)</f>
        <v>2063292.7385575031</v>
      </c>
      <c r="H664" s="19">
        <f>H660-SUM(H661:H663)</f>
        <v>2420873.0400427952</v>
      </c>
      <c r="I664" s="19">
        <f>I660-SUM(I661:I663)</f>
        <v>7919087.5862500006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244.23</v>
      </c>
      <c r="G665" s="248">
        <v>118.29</v>
      </c>
      <c r="H665" s="248">
        <v>179.07</v>
      </c>
      <c r="I665" s="19">
        <f>SUM(F665:H665)</f>
        <v>541.58999999999992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14064.29</v>
      </c>
      <c r="G667" s="19">
        <f>ROUND(G664/G665,2)</f>
        <v>17442.66</v>
      </c>
      <c r="H667" s="19">
        <f>ROUND(H664/H665,2)</f>
        <v>13519.14</v>
      </c>
      <c r="I667" s="19">
        <f>ROUND(I664/I665,2)</f>
        <v>14621.92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-2.89</v>
      </c>
      <c r="I670" s="19">
        <f>SUM(F670:H670)</f>
        <v>-2.89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14064.29</v>
      </c>
      <c r="G672" s="19">
        <f>ROUND((G664+G669)/(G665+G670),2)</f>
        <v>17442.66</v>
      </c>
      <c r="H672" s="19">
        <f>ROUND((H664+H669)/(H665+H670),2)</f>
        <v>13740.91</v>
      </c>
      <c r="I672" s="19">
        <f>ROUND((I664+I669)/(I665+I670),2)</f>
        <v>14700.37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Milton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2262113.11</v>
      </c>
      <c r="C9" s="229">
        <f>'DOE25'!G197+'DOE25'!G215+'DOE25'!G233+'DOE25'!G276+'DOE25'!G295+'DOE25'!G314</f>
        <v>1029805.3099999999</v>
      </c>
    </row>
    <row r="10" spans="1:3" x14ac:dyDescent="0.2">
      <c r="A10" t="s">
        <v>779</v>
      </c>
      <c r="B10" s="240">
        <f>845425.31+449046.58+633535.13+10611.38</f>
        <v>1938618.4</v>
      </c>
      <c r="C10" s="240">
        <f>206374.26+8676.02+861+2655.65+67504.66+115983.97-4174.8+16926.6+102977.7+5257.93+392+1522.12+36829.26+63869.67+19407.5+147026.14+6023.25+507.5+1990.34+47901.3+89703.25-3905.78+2314.37</f>
        <v>936623.91</v>
      </c>
    </row>
    <row r="11" spans="1:3" x14ac:dyDescent="0.2">
      <c r="A11" t="s">
        <v>780</v>
      </c>
      <c r="B11" s="240">
        <f>24650.54+68441.26+89854.37+34975.39</f>
        <v>217921.56</v>
      </c>
      <c r="C11" s="240">
        <f>10863.01+3831.54+2250.83+178.82+23027.05+32150.19+12593.22</f>
        <v>84894.66</v>
      </c>
    </row>
    <row r="12" spans="1:3" x14ac:dyDescent="0.2">
      <c r="A12" t="s">
        <v>781</v>
      </c>
      <c r="B12" s="240">
        <f>54572.6+36021.55+14979</f>
        <v>105573.15</v>
      </c>
      <c r="C12" s="240">
        <f>4174.8+210.39+3901.55</f>
        <v>8286.7400000000016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2262113.11</v>
      </c>
      <c r="C13" s="231">
        <f>SUM(C10:C12)</f>
        <v>1029805.31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760606.29</v>
      </c>
      <c r="C18" s="229">
        <f>'DOE25'!G198+'DOE25'!G216+'DOE25'!G234+'DOE25'!G277+'DOE25'!G296+'DOE25'!G315</f>
        <v>398713.62</v>
      </c>
    </row>
    <row r="19" spans="1:3" x14ac:dyDescent="0.2">
      <c r="A19" t="s">
        <v>779</v>
      </c>
      <c r="B19" s="240">
        <f>20093.7+117884.09+4437.5+8299.05+63206.74+10206.07+96512.25+1760</f>
        <v>322399.40000000002</v>
      </c>
      <c r="C19" s="240">
        <f>11417.04+1202.46+160.68+489.72+10028.84+18451.26+6667.65+46450.35+1464.6+115.5+298.66+5268.39+10073.87+9583.96+15307.29+899.5+31.5+322.46+8109.47+15111.18</f>
        <v>161454.38</v>
      </c>
    </row>
    <row r="20" spans="1:3" x14ac:dyDescent="0.2">
      <c r="A20" t="s">
        <v>780</v>
      </c>
      <c r="B20" s="240">
        <f>219645.26+385+4315.86+66920.11+2932.5+10505+4315.86+106129.99+20357.31+2700</f>
        <v>438206.88999999996</v>
      </c>
      <c r="C20" s="240">
        <f>81103.86+18142.38+24054.77+26849.61+5699.41+7990.81+51915.09+9215.93+12084.88+202.5</f>
        <v>237259.24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760606.29</v>
      </c>
      <c r="C22" s="231">
        <f>SUM(C19:C21)</f>
        <v>398713.62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43846</v>
      </c>
      <c r="C27" s="234">
        <f>'DOE25'!G199+'DOE25'!G217+'DOE25'!G235+'DOE25'!G278+'DOE25'!G297+'DOE25'!G316</f>
        <v>14138.43</v>
      </c>
    </row>
    <row r="28" spans="1:3" x14ac:dyDescent="0.2">
      <c r="A28" t="s">
        <v>779</v>
      </c>
      <c r="B28" s="240">
        <v>43846</v>
      </c>
      <c r="C28" s="240">
        <v>14138.43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43846</v>
      </c>
      <c r="C31" s="231">
        <f>SUM(C28:C30)</f>
        <v>14138.43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119665.76000000001</v>
      </c>
      <c r="C36" s="235">
        <f>'DOE25'!G200+'DOE25'!G218+'DOE25'!G236+'DOE25'!G279+'DOE25'!G298+'DOE25'!G317</f>
        <v>31711.920000000002</v>
      </c>
    </row>
    <row r="37" spans="1:3" x14ac:dyDescent="0.2">
      <c r="A37" t="s">
        <v>779</v>
      </c>
      <c r="B37" s="240">
        <f>6137.5+5960+20024.51</f>
        <v>32122.01</v>
      </c>
      <c r="C37" s="240">
        <f>469.54+223.29+455.94+1547.92</f>
        <v>2696.69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22233.75+14599.97+7518+1120+24300.03+17772</f>
        <v>87543.75</v>
      </c>
      <c r="C39" s="240">
        <f>1689.4+341.65+3026.75+7423.67+3222.76+85.69+2421.56+3214.6+7.08+7582.07</f>
        <v>29015.230000000003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119665.76</v>
      </c>
      <c r="C40" s="231">
        <f>SUM(C37:C39)</f>
        <v>31711.920000000002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40" sqref="F4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Milton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5529874.6700000009</v>
      </c>
      <c r="D5" s="20">
        <f>SUM('DOE25'!L197:L200)+SUM('DOE25'!L215:L218)+SUM('DOE25'!L233:L236)-F5-G5</f>
        <v>5502529.2600000007</v>
      </c>
      <c r="E5" s="243"/>
      <c r="F5" s="255">
        <f>SUM('DOE25'!J197:J200)+SUM('DOE25'!J215:J218)+SUM('DOE25'!J233:J236)</f>
        <v>23553.15</v>
      </c>
      <c r="G5" s="53">
        <f>SUM('DOE25'!K197:K200)+SUM('DOE25'!K215:K218)+SUM('DOE25'!K233:K236)</f>
        <v>3792.26</v>
      </c>
      <c r="H5" s="259"/>
    </row>
    <row r="6" spans="1:9" x14ac:dyDescent="0.2">
      <c r="A6" s="32">
        <v>2100</v>
      </c>
      <c r="B6" t="s">
        <v>801</v>
      </c>
      <c r="C6" s="245">
        <f t="shared" si="0"/>
        <v>365119.78</v>
      </c>
      <c r="D6" s="20">
        <f>'DOE25'!L202+'DOE25'!L220+'DOE25'!L238-F6-G6</f>
        <v>364924.78</v>
      </c>
      <c r="E6" s="243"/>
      <c r="F6" s="255">
        <f>'DOE25'!J202+'DOE25'!J220+'DOE25'!J238</f>
        <v>0</v>
      </c>
      <c r="G6" s="53">
        <f>'DOE25'!K202+'DOE25'!K220+'DOE25'!K238</f>
        <v>195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201897.02</v>
      </c>
      <c r="D7" s="20">
        <f>'DOE25'!L203+'DOE25'!L221+'DOE25'!L239-F7-G7</f>
        <v>201897.02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302056.65000000008</v>
      </c>
      <c r="D8" s="243"/>
      <c r="E8" s="20">
        <f>'DOE25'!L204+'DOE25'!L222+'DOE25'!L240-F8-G8-D9-D11</f>
        <v>298995.64000000007</v>
      </c>
      <c r="F8" s="255">
        <f>'DOE25'!J204+'DOE25'!J222+'DOE25'!J240</f>
        <v>0</v>
      </c>
      <c r="G8" s="53">
        <f>'DOE25'!K204+'DOE25'!K222+'DOE25'!K240</f>
        <v>3061.01</v>
      </c>
      <c r="H8" s="259"/>
    </row>
    <row r="9" spans="1:9" x14ac:dyDescent="0.2">
      <c r="A9" s="32">
        <v>2310</v>
      </c>
      <c r="B9" t="s">
        <v>818</v>
      </c>
      <c r="C9" s="245">
        <f t="shared" si="0"/>
        <v>42463.74</v>
      </c>
      <c r="D9" s="244">
        <v>42463.74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14668.21</v>
      </c>
      <c r="D10" s="243"/>
      <c r="E10" s="244">
        <f>5868.21+8800</f>
        <v>14668.21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100013.17</v>
      </c>
      <c r="D11" s="244">
        <v>100013.17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595866.63</v>
      </c>
      <c r="D12" s="20">
        <f>'DOE25'!L205+'DOE25'!L223+'DOE25'!L241-F12-G12</f>
        <v>593368.57000000007</v>
      </c>
      <c r="E12" s="243"/>
      <c r="F12" s="255">
        <f>'DOE25'!J205+'DOE25'!J223+'DOE25'!J241</f>
        <v>250.99</v>
      </c>
      <c r="G12" s="53">
        <f>'DOE25'!K205+'DOE25'!K223+'DOE25'!K241</f>
        <v>2247.0700000000002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755993.22</v>
      </c>
      <c r="D14" s="20">
        <f>'DOE25'!L207+'DOE25'!L225+'DOE25'!L243-F14-G14</f>
        <v>746723.05999999994</v>
      </c>
      <c r="E14" s="243"/>
      <c r="F14" s="255">
        <f>'DOE25'!J207+'DOE25'!J225+'DOE25'!J243</f>
        <v>9120.16</v>
      </c>
      <c r="G14" s="53">
        <f>'DOE25'!K207+'DOE25'!K225+'DOE25'!K243</f>
        <v>150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553160.4</v>
      </c>
      <c r="D15" s="20">
        <f>'DOE25'!L208+'DOE25'!L226+'DOE25'!L244-F15-G15</f>
        <v>550618.25</v>
      </c>
      <c r="E15" s="243"/>
      <c r="F15" s="255">
        <f>'DOE25'!J208+'DOE25'!J226+'DOE25'!J244</f>
        <v>0</v>
      </c>
      <c r="G15" s="53">
        <f>'DOE25'!K208+'DOE25'!K226+'DOE25'!K244</f>
        <v>2542.15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40838.53</v>
      </c>
      <c r="D16" s="243"/>
      <c r="E16" s="20">
        <f>'DOE25'!L209+'DOE25'!L227+'DOE25'!L245-F16-G16</f>
        <v>32696.14</v>
      </c>
      <c r="F16" s="255">
        <f>'DOE25'!J209+'DOE25'!J227+'DOE25'!J245</f>
        <v>8142.39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349346.5</v>
      </c>
      <c r="D25" s="243"/>
      <c r="E25" s="243"/>
      <c r="F25" s="258"/>
      <c r="G25" s="256"/>
      <c r="H25" s="257">
        <f>'DOE25'!L260+'DOE25'!L261+'DOE25'!L341+'DOE25'!L342</f>
        <v>349346.5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284095.44</v>
      </c>
      <c r="D29" s="20">
        <f>'DOE25'!L358+'DOE25'!L359+'DOE25'!L360-'DOE25'!I367-F29-G29</f>
        <v>284095.44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583399.28</v>
      </c>
      <c r="D31" s="20">
        <f>'DOE25'!L290+'DOE25'!L309+'DOE25'!L328+'DOE25'!L333+'DOE25'!L334+'DOE25'!L335-F31-G31</f>
        <v>510551.28</v>
      </c>
      <c r="E31" s="243"/>
      <c r="F31" s="255">
        <f>'DOE25'!J290+'DOE25'!J309+'DOE25'!J328+'DOE25'!J333+'DOE25'!J334+'DOE25'!J335</f>
        <v>62101.600000000006</v>
      </c>
      <c r="G31" s="53">
        <f>'DOE25'!K290+'DOE25'!K309+'DOE25'!K328+'DOE25'!K333+'DOE25'!K334+'DOE25'!K335</f>
        <v>10746.400000000001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8897184.5700000003</v>
      </c>
      <c r="E33" s="246">
        <f>SUM(E5:E31)</f>
        <v>346359.99000000011</v>
      </c>
      <c r="F33" s="246">
        <f>SUM(F5:F31)</f>
        <v>103168.29000000001</v>
      </c>
      <c r="G33" s="246">
        <f>SUM(G5:G31)</f>
        <v>22733.89</v>
      </c>
      <c r="H33" s="246">
        <f>SUM(H5:H31)</f>
        <v>349346.5</v>
      </c>
    </row>
    <row r="35" spans="2:8" ht="12" thickBot="1" x14ac:dyDescent="0.25">
      <c r="B35" s="253" t="s">
        <v>847</v>
      </c>
      <c r="D35" s="254">
        <f>E33</f>
        <v>346359.99000000011</v>
      </c>
      <c r="E35" s="249"/>
    </row>
    <row r="36" spans="2:8" ht="12" thickTop="1" x14ac:dyDescent="0.2">
      <c r="B36" t="s">
        <v>815</v>
      </c>
      <c r="D36" s="20">
        <f>D33</f>
        <v>8897184.5700000003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6" activePane="bottomLeft" state="frozen"/>
      <selection activeCell="F46" sqref="F46"/>
      <selection pane="bottomLeft" activeCell="D198" sqref="D19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143517.60999999999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268286.38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4395.49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200534.94999999998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12395.95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344052.55999999994</v>
      </c>
      <c r="D18" s="41">
        <f>SUM(D8:D17)</f>
        <v>12395.95</v>
      </c>
      <c r="E18" s="41">
        <f>SUM(E8:E17)</f>
        <v>4395.49</v>
      </c>
      <c r="F18" s="41">
        <f>SUM(F8:F17)</f>
        <v>0</v>
      </c>
      <c r="G18" s="41">
        <f>SUM(G8:G17)</f>
        <v>268286.38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4555.78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43968.89</v>
      </c>
      <c r="D22" s="95">
        <f>'DOE25'!G23</f>
        <v>7547.6</v>
      </c>
      <c r="E22" s="95">
        <f>'DOE25'!H23</f>
        <v>-28744.59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55267.07</v>
      </c>
      <c r="D23" s="95">
        <f>'DOE25'!G24</f>
        <v>4848.3500000000004</v>
      </c>
      <c r="E23" s="95">
        <f>'DOE25'!H24</f>
        <v>5903.2199999999993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27236.86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103791.73999999999</v>
      </c>
      <c r="D31" s="41">
        <f>SUM(D21:D30)</f>
        <v>12395.95</v>
      </c>
      <c r="E31" s="41">
        <f>SUM(E21:E30)</f>
        <v>4395.489999999998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90000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268286.38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150260.81999999995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240260.81999999995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268286.38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344052.55999999994</v>
      </c>
      <c r="D51" s="41">
        <f>D50+D31</f>
        <v>12395.95</v>
      </c>
      <c r="E51" s="41">
        <f>E50+E31</f>
        <v>4395.489999999998</v>
      </c>
      <c r="F51" s="41">
        <f>F50+F31</f>
        <v>0</v>
      </c>
      <c r="G51" s="41">
        <f>G50+G31</f>
        <v>268286.38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4626648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4236.5099999999993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-1126.3399999999999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95668.73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3328.7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6438.869999999999</v>
      </c>
      <c r="D62" s="130">
        <f>SUM(D57:D61)</f>
        <v>95668.73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4633086.87</v>
      </c>
      <c r="D63" s="22">
        <f>D56+D62</f>
        <v>95668.73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3012464.6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3012464.6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180046.78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831682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7235.6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15680.37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1018964.38</v>
      </c>
      <c r="D78" s="130">
        <f>SUM(D72:D77)</f>
        <v>15680.37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4031428.98</v>
      </c>
      <c r="D81" s="130">
        <f>SUM(D79:D80)+D78+D70</f>
        <v>15680.37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137343.53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150644.74000000002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140249.29</v>
      </c>
      <c r="D88" s="95">
        <f>SUM('DOE25'!G153:G161)</f>
        <v>117968.58</v>
      </c>
      <c r="E88" s="95">
        <f>SUM('DOE25'!H153:H161)</f>
        <v>295411.01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140249.29</v>
      </c>
      <c r="D91" s="131">
        <f>SUM(D85:D90)</f>
        <v>117968.58</v>
      </c>
      <c r="E91" s="131">
        <f>SUM(E85:E90)</f>
        <v>583399.28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54919.79</v>
      </c>
      <c r="E96" s="95">
        <f>'DOE25'!H179</f>
        <v>0</v>
      </c>
      <c r="F96" s="95">
        <f>'DOE25'!I179</f>
        <v>0</v>
      </c>
      <c r="G96" s="95">
        <f>'DOE25'!J179</f>
        <v>105000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54919.79</v>
      </c>
      <c r="E103" s="86">
        <f>SUM(E93:E102)</f>
        <v>0</v>
      </c>
      <c r="F103" s="86">
        <f>SUM(F93:F102)</f>
        <v>0</v>
      </c>
      <c r="G103" s="86">
        <f>SUM(G93:G102)</f>
        <v>105000</v>
      </c>
    </row>
    <row r="104" spans="1:7" ht="12.75" thickTop="1" thickBot="1" x14ac:dyDescent="0.25">
      <c r="A104" s="33" t="s">
        <v>765</v>
      </c>
      <c r="C104" s="86">
        <f>C63+C81+C91+C103</f>
        <v>8804765.1399999987</v>
      </c>
      <c r="D104" s="86">
        <f>D63+D81+D91+D103</f>
        <v>284237.46999999997</v>
      </c>
      <c r="E104" s="86">
        <f>E63+E81+E91+E103</f>
        <v>583399.28</v>
      </c>
      <c r="F104" s="86">
        <f>F63+F81+F91+F103</f>
        <v>0</v>
      </c>
      <c r="G104" s="86">
        <f>G63+G81+G103</f>
        <v>105000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3160235.8600000003</v>
      </c>
      <c r="D109" s="24" t="s">
        <v>289</v>
      </c>
      <c r="E109" s="95">
        <f>('DOE25'!L276)+('DOE25'!L295)+('DOE25'!L314)</f>
        <v>400320.05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2087661.5300000003</v>
      </c>
      <c r="D110" s="24" t="s">
        <v>289</v>
      </c>
      <c r="E110" s="95">
        <f>('DOE25'!L277)+('DOE25'!L296)+('DOE25'!L315)</f>
        <v>9336.5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78558.86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203418.42</v>
      </c>
      <c r="D112" s="24" t="s">
        <v>289</v>
      </c>
      <c r="E112" s="95">
        <f>+('DOE25'!L279)+('DOE25'!L298)+('DOE25'!L317)</f>
        <v>199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5529874.6700000009</v>
      </c>
      <c r="D115" s="86">
        <f>SUM(D109:D114)</f>
        <v>0</v>
      </c>
      <c r="E115" s="86">
        <f>SUM(E109:E114)</f>
        <v>409855.55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365119.78</v>
      </c>
      <c r="D118" s="24" t="s">
        <v>289</v>
      </c>
      <c r="E118" s="95">
        <f>+('DOE25'!L281)+('DOE25'!L300)+('DOE25'!L319)</f>
        <v>2023.35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201897.02</v>
      </c>
      <c r="D119" s="24" t="s">
        <v>289</v>
      </c>
      <c r="E119" s="95">
        <f>+('DOE25'!L282)+('DOE25'!L301)+('DOE25'!L320)</f>
        <v>159061.07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444533.56000000006</v>
      </c>
      <c r="D120" s="24" t="s">
        <v>289</v>
      </c>
      <c r="E120" s="95">
        <f>+('DOE25'!L283)+('DOE25'!L302)+('DOE25'!L321)</f>
        <v>2012.9100000000003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595866.63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10446.400000000001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755993.22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553160.4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40838.53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284237.47000000003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2957409.1399999997</v>
      </c>
      <c r="D128" s="86">
        <f>SUM(D118:D127)</f>
        <v>284237.47000000003</v>
      </c>
      <c r="E128" s="86">
        <f>SUM(E118:E127)</f>
        <v>173543.73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74346.5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54919.79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509266.29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8996550.0999999996</v>
      </c>
      <c r="D145" s="86">
        <f>(D115+D128+D144)</f>
        <v>284237.47000000003</v>
      </c>
      <c r="E145" s="86">
        <f>(E115+E128+E144)</f>
        <v>583399.28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4097790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275000</v>
      </c>
    </row>
    <row r="159" spans="1:9" x14ac:dyDescent="0.2">
      <c r="A159" s="22" t="s">
        <v>35</v>
      </c>
      <c r="B159" s="137">
        <f>'DOE25'!F498</f>
        <v>1625000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1625000</v>
      </c>
    </row>
    <row r="160" spans="1:9" x14ac:dyDescent="0.2">
      <c r="A160" s="22" t="s">
        <v>36</v>
      </c>
      <c r="B160" s="137">
        <f>'DOE25'!F499</f>
        <v>204332.5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204332.5</v>
      </c>
    </row>
    <row r="161" spans="1:7" x14ac:dyDescent="0.2">
      <c r="A161" s="22" t="s">
        <v>37</v>
      </c>
      <c r="B161" s="137">
        <f>'DOE25'!F500</f>
        <v>1829332.5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1829332.5</v>
      </c>
    </row>
    <row r="162" spans="1:7" x14ac:dyDescent="0.2">
      <c r="A162" s="22" t="s">
        <v>38</v>
      </c>
      <c r="B162" s="137">
        <f>'DOE25'!F501</f>
        <v>275000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275000</v>
      </c>
    </row>
    <row r="163" spans="1:7" x14ac:dyDescent="0.2">
      <c r="A163" s="22" t="s">
        <v>39</v>
      </c>
      <c r="B163" s="137">
        <f>'DOE25'!F502</f>
        <v>64830.5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64830.5</v>
      </c>
    </row>
    <row r="164" spans="1:7" x14ac:dyDescent="0.2">
      <c r="A164" s="22" t="s">
        <v>246</v>
      </c>
      <c r="B164" s="137">
        <f>'DOE25'!F503</f>
        <v>339830.5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339830.5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E55" sqref="E5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Milton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14064</v>
      </c>
    </row>
    <row r="5" spans="1:4" x14ac:dyDescent="0.2">
      <c r="B5" t="s">
        <v>704</v>
      </c>
      <c r="C5" s="179">
        <f>IF('DOE25'!G665+'DOE25'!G670=0,0,ROUND('DOE25'!G672,0))</f>
        <v>17443</v>
      </c>
    </row>
    <row r="6" spans="1:4" x14ac:dyDescent="0.2">
      <c r="B6" t="s">
        <v>62</v>
      </c>
      <c r="C6" s="179">
        <f>IF('DOE25'!H665+'DOE25'!H670=0,0,ROUND('DOE25'!H672,0))</f>
        <v>13741</v>
      </c>
    </row>
    <row r="7" spans="1:4" x14ac:dyDescent="0.2">
      <c r="B7" t="s">
        <v>705</v>
      </c>
      <c r="C7" s="179">
        <f>IF('DOE25'!I665+'DOE25'!I670=0,0,ROUND('DOE25'!I672,0))</f>
        <v>14700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3560556</v>
      </c>
      <c r="D10" s="182">
        <f>ROUND((C10/$C$28)*100,1)</f>
        <v>38.1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2096998</v>
      </c>
      <c r="D11" s="182">
        <f>ROUND((C11/$C$28)*100,1)</f>
        <v>22.5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78559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203617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367143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360958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487385</v>
      </c>
      <c r="D17" s="182">
        <f t="shared" si="0"/>
        <v>5.2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595867</v>
      </c>
      <c r="D18" s="182">
        <f t="shared" si="0"/>
        <v>6.4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10446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755993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553160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74347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188568.27000000002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9333597.2699999996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9333597.2699999996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275000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4626648</v>
      </c>
      <c r="D35" s="182">
        <f t="shared" ref="D35:D40" si="1">ROUND((C35/$C$41)*100,1)</f>
        <v>48.6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6438.8700000001118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3012465</v>
      </c>
      <c r="D37" s="182">
        <f t="shared" si="1"/>
        <v>31.6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1034645</v>
      </c>
      <c r="D38" s="182">
        <f t="shared" si="1"/>
        <v>10.9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841617</v>
      </c>
      <c r="D39" s="182">
        <f t="shared" si="1"/>
        <v>8.8000000000000007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9521813.870000001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Milton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2015-10-06T12:38:29Z</cp:lastPrinted>
  <dcterms:created xsi:type="dcterms:W3CDTF">1997-12-04T19:04:30Z</dcterms:created>
  <dcterms:modified xsi:type="dcterms:W3CDTF">2015-11-30T13:30:38Z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