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3040" windowHeight="1122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J604" i="1" l="1"/>
  <c r="I604" i="1"/>
  <c r="H604" i="1"/>
  <c r="H110" i="1"/>
  <c r="F104" i="1"/>
  <c r="F110" i="1"/>
  <c r="F101" i="1"/>
  <c r="F109" i="1"/>
  <c r="F233" i="1"/>
  <c r="K233" i="1"/>
  <c r="I233" i="1"/>
  <c r="H233" i="1"/>
  <c r="G233" i="1"/>
  <c r="K215" i="1"/>
  <c r="H215" i="1"/>
  <c r="G215" i="1"/>
  <c r="F215" i="1"/>
  <c r="I197" i="1"/>
  <c r="H197" i="1"/>
  <c r="G197" i="1"/>
  <c r="F197" i="1"/>
  <c r="I234" i="1"/>
  <c r="H234" i="1"/>
  <c r="G234" i="1"/>
  <c r="F234" i="1"/>
  <c r="J216" i="1"/>
  <c r="I216" i="1"/>
  <c r="H216" i="1"/>
  <c r="G216" i="1"/>
  <c r="F216" i="1"/>
  <c r="J198" i="1"/>
  <c r="I198" i="1"/>
  <c r="H198" i="1"/>
  <c r="G198" i="1"/>
  <c r="F198" i="1"/>
  <c r="J243" i="1"/>
  <c r="I243" i="1"/>
  <c r="H243" i="1"/>
  <c r="G243" i="1"/>
  <c r="F243" i="1"/>
  <c r="J225" i="1"/>
  <c r="I225" i="1"/>
  <c r="H225" i="1"/>
  <c r="G225" i="1"/>
  <c r="F225" i="1"/>
  <c r="J207" i="1"/>
  <c r="I207" i="1"/>
  <c r="H207" i="1"/>
  <c r="G207" i="1"/>
  <c r="F207" i="1"/>
  <c r="H208" i="1"/>
  <c r="H226" i="1"/>
  <c r="H244" i="1"/>
  <c r="J591" i="1"/>
  <c r="I591" i="1"/>
  <c r="F226" i="1"/>
  <c r="G205" i="1"/>
  <c r="G203" i="1"/>
  <c r="G239" i="1"/>
  <c r="G241" i="1"/>
  <c r="G221" i="1"/>
  <c r="G223" i="1"/>
  <c r="I241" i="1"/>
  <c r="H241" i="1"/>
  <c r="F241" i="1"/>
  <c r="I223" i="1"/>
  <c r="F223" i="1"/>
  <c r="I205" i="1"/>
  <c r="F205" i="1"/>
  <c r="I239" i="1"/>
  <c r="H239" i="1"/>
  <c r="F239" i="1"/>
  <c r="J221" i="1"/>
  <c r="I221" i="1"/>
  <c r="H221" i="1"/>
  <c r="F221" i="1"/>
  <c r="K203" i="1"/>
  <c r="I203" i="1"/>
  <c r="F203" i="1"/>
  <c r="I220" i="1"/>
  <c r="F220" i="1"/>
  <c r="I238" i="1"/>
  <c r="H238" i="1"/>
  <c r="G238" i="1"/>
  <c r="F238" i="1"/>
  <c r="H220" i="1"/>
  <c r="G220" i="1"/>
  <c r="I202" i="1"/>
  <c r="H202" i="1"/>
  <c r="G202" i="1"/>
  <c r="F202" i="1"/>
  <c r="G9" i="1" l="1"/>
  <c r="K426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G650" i="1" s="1"/>
  <c r="L244" i="1"/>
  <c r="F17" i="13"/>
  <c r="G17" i="13"/>
  <c r="D17" i="13" s="1"/>
  <c r="C17" i="13" s="1"/>
  <c r="L251" i="1"/>
  <c r="F18" i="13"/>
  <c r="G18" i="13"/>
  <c r="L252" i="1"/>
  <c r="D18" i="13" s="1"/>
  <c r="C18" i="13" s="1"/>
  <c r="F19" i="13"/>
  <c r="G19" i="13"/>
  <c r="D19" i="13" s="1"/>
  <c r="C19" i="13" s="1"/>
  <c r="L253" i="1"/>
  <c r="F29" i="13"/>
  <c r="G29" i="13"/>
  <c r="L358" i="1"/>
  <c r="L359" i="1"/>
  <c r="L360" i="1"/>
  <c r="D29" i="13" s="1"/>
  <c r="C29" i="13" s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F662" i="1" s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351" i="1" s="1"/>
  <c r="L255" i="1"/>
  <c r="C29" i="10" s="1"/>
  <c r="L336" i="1"/>
  <c r="E130" i="2" s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G62" i="2" s="1"/>
  <c r="F2" i="11"/>
  <c r="L613" i="1"/>
  <c r="H663" i="1" s="1"/>
  <c r="L612" i="1"/>
  <c r="G663" i="1" s="1"/>
  <c r="L611" i="1"/>
  <c r="C40" i="10"/>
  <c r="F60" i="1"/>
  <c r="C35" i="10" s="1"/>
  <c r="G60" i="1"/>
  <c r="H60" i="1"/>
  <c r="E56" i="2" s="1"/>
  <c r="I60" i="1"/>
  <c r="F79" i="1"/>
  <c r="C57" i="2" s="1"/>
  <c r="F94" i="1"/>
  <c r="F111" i="1"/>
  <c r="G111" i="1"/>
  <c r="G112" i="1" s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H140" i="1" s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1" i="10"/>
  <c r="L250" i="1"/>
  <c r="L332" i="1"/>
  <c r="L254" i="1"/>
  <c r="L268" i="1"/>
  <c r="L269" i="1"/>
  <c r="L349" i="1"/>
  <c r="L350" i="1"/>
  <c r="I665" i="1"/>
  <c r="I670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L537" i="1"/>
  <c r="I550" i="1" s="1"/>
  <c r="L538" i="1"/>
  <c r="I551" i="1" s="1"/>
  <c r="L541" i="1"/>
  <c r="J549" i="1" s="1"/>
  <c r="L542" i="1"/>
  <c r="J550" i="1" s="1"/>
  <c r="L543" i="1"/>
  <c r="J551" i="1" s="1"/>
  <c r="E131" i="2"/>
  <c r="K270" i="1"/>
  <c r="J270" i="1"/>
  <c r="I270" i="1"/>
  <c r="H270" i="1"/>
  <c r="G270" i="1"/>
  <c r="L270" i="1" s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F56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C78" i="2" s="1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3" i="2"/>
  <c r="E113" i="2"/>
  <c r="C114" i="2"/>
  <c r="D115" i="2"/>
  <c r="F115" i="2"/>
  <c r="G115" i="2"/>
  <c r="E123" i="2"/>
  <c r="F128" i="2"/>
  <c r="G128" i="2"/>
  <c r="C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G157" i="2" s="1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G620" i="1" s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F177" i="1"/>
  <c r="I177" i="1"/>
  <c r="F183" i="1"/>
  <c r="G183" i="1"/>
  <c r="H183" i="1"/>
  <c r="I183" i="1"/>
  <c r="J183" i="1"/>
  <c r="J192" i="1" s="1"/>
  <c r="F188" i="1"/>
  <c r="F192" i="1" s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J645" i="1" s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F452" i="1"/>
  <c r="G452" i="1"/>
  <c r="H452" i="1"/>
  <c r="I452" i="1"/>
  <c r="F460" i="1"/>
  <c r="G460" i="1"/>
  <c r="H460" i="1"/>
  <c r="F461" i="1"/>
  <c r="H639" i="1" s="1"/>
  <c r="G461" i="1"/>
  <c r="H461" i="1"/>
  <c r="F470" i="1"/>
  <c r="G470" i="1"/>
  <c r="H470" i="1"/>
  <c r="I470" i="1"/>
  <c r="J470" i="1"/>
  <c r="F474" i="1"/>
  <c r="G474" i="1"/>
  <c r="H474" i="1"/>
  <c r="I474" i="1"/>
  <c r="I476" i="1" s="1"/>
  <c r="H625" i="1" s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I545" i="1" s="1"/>
  <c r="J529" i="1"/>
  <c r="K529" i="1"/>
  <c r="K545" i="1" s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I571" i="1" s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9" i="1"/>
  <c r="G622" i="1"/>
  <c r="G623" i="1"/>
  <c r="G624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40" i="1"/>
  <c r="G641" i="1"/>
  <c r="H641" i="1"/>
  <c r="G643" i="1"/>
  <c r="H643" i="1"/>
  <c r="G644" i="1"/>
  <c r="H644" i="1"/>
  <c r="J644" i="1" s="1"/>
  <c r="G645" i="1"/>
  <c r="G652" i="1"/>
  <c r="H652" i="1"/>
  <c r="G653" i="1"/>
  <c r="H653" i="1"/>
  <c r="G654" i="1"/>
  <c r="H654" i="1"/>
  <c r="H655" i="1"/>
  <c r="A31" i="12"/>
  <c r="D18" i="2"/>
  <c r="C91" i="2"/>
  <c r="D31" i="2"/>
  <c r="G161" i="2"/>
  <c r="D91" i="2"/>
  <c r="E31" i="2"/>
  <c r="E78" i="2"/>
  <c r="L427" i="1"/>
  <c r="J641" i="1"/>
  <c r="K571" i="1"/>
  <c r="L419" i="1"/>
  <c r="I169" i="1"/>
  <c r="J643" i="1"/>
  <c r="H476" i="1"/>
  <c r="H624" i="1" s="1"/>
  <c r="J624" i="1" s="1"/>
  <c r="J140" i="1"/>
  <c r="L393" i="1"/>
  <c r="C138" i="2" s="1"/>
  <c r="L560" i="1"/>
  <c r="G192" i="1"/>
  <c r="J655" i="1"/>
  <c r="L570" i="1"/>
  <c r="G36" i="2"/>
  <c r="K551" i="1"/>
  <c r="J617" i="1" l="1"/>
  <c r="A40" i="12"/>
  <c r="L524" i="1"/>
  <c r="F552" i="1"/>
  <c r="G545" i="1"/>
  <c r="H552" i="1"/>
  <c r="L534" i="1"/>
  <c r="H545" i="1"/>
  <c r="K550" i="1"/>
  <c r="H662" i="1"/>
  <c r="L328" i="1"/>
  <c r="H660" i="1" s="1"/>
  <c r="E110" i="2"/>
  <c r="E125" i="2"/>
  <c r="E121" i="2"/>
  <c r="E119" i="2"/>
  <c r="H338" i="1"/>
  <c r="H352" i="1" s="1"/>
  <c r="E112" i="2"/>
  <c r="L309" i="1"/>
  <c r="G338" i="1"/>
  <c r="G352" i="1" s="1"/>
  <c r="K605" i="1"/>
  <c r="G648" i="1" s="1"/>
  <c r="C18" i="2"/>
  <c r="J476" i="1"/>
  <c r="H626" i="1" s="1"/>
  <c r="H192" i="1"/>
  <c r="F476" i="1"/>
  <c r="H622" i="1" s="1"/>
  <c r="C81" i="2"/>
  <c r="C70" i="2"/>
  <c r="C109" i="2"/>
  <c r="D5" i="13"/>
  <c r="C5" i="13" s="1"/>
  <c r="C110" i="2"/>
  <c r="C123" i="2"/>
  <c r="C20" i="10"/>
  <c r="C125" i="2"/>
  <c r="L565" i="1"/>
  <c r="C124" i="2"/>
  <c r="K598" i="1"/>
  <c r="G647" i="1" s="1"/>
  <c r="J552" i="1"/>
  <c r="L544" i="1"/>
  <c r="G662" i="1"/>
  <c r="I662" i="1" s="1"/>
  <c r="C18" i="10"/>
  <c r="G257" i="1"/>
  <c r="G271" i="1" s="1"/>
  <c r="C120" i="2"/>
  <c r="I257" i="1"/>
  <c r="I271" i="1" s="1"/>
  <c r="C119" i="2"/>
  <c r="D7" i="13"/>
  <c r="C7" i="13" s="1"/>
  <c r="K257" i="1"/>
  <c r="K271" i="1" s="1"/>
  <c r="L247" i="1"/>
  <c r="C13" i="10"/>
  <c r="C112" i="2"/>
  <c r="H257" i="1"/>
  <c r="H271" i="1" s="1"/>
  <c r="G476" i="1"/>
  <c r="H623" i="1" s="1"/>
  <c r="J634" i="1"/>
  <c r="H661" i="1"/>
  <c r="J623" i="1"/>
  <c r="J639" i="1"/>
  <c r="I446" i="1"/>
  <c r="G642" i="1" s="1"/>
  <c r="J571" i="1"/>
  <c r="H571" i="1"/>
  <c r="F571" i="1"/>
  <c r="J545" i="1"/>
  <c r="L256" i="1"/>
  <c r="J257" i="1"/>
  <c r="J271" i="1" s="1"/>
  <c r="I52" i="1"/>
  <c r="H620" i="1" s="1"/>
  <c r="J620" i="1" s="1"/>
  <c r="G625" i="1"/>
  <c r="J625" i="1" s="1"/>
  <c r="B164" i="2"/>
  <c r="G164" i="2" s="1"/>
  <c r="K503" i="1"/>
  <c r="G156" i="2"/>
  <c r="E103" i="2"/>
  <c r="F78" i="2"/>
  <c r="F81" i="2" s="1"/>
  <c r="E62" i="2"/>
  <c r="E63" i="2" s="1"/>
  <c r="F112" i="1"/>
  <c r="F663" i="1"/>
  <c r="L614" i="1"/>
  <c r="L401" i="1"/>
  <c r="C139" i="2" s="1"/>
  <c r="A13" i="12"/>
  <c r="C25" i="10"/>
  <c r="H25" i="13"/>
  <c r="E114" i="2"/>
  <c r="E124" i="2"/>
  <c r="E122" i="2"/>
  <c r="E120" i="2"/>
  <c r="E118" i="2"/>
  <c r="E111" i="2"/>
  <c r="E109" i="2"/>
  <c r="L290" i="1"/>
  <c r="F661" i="1"/>
  <c r="C21" i="10"/>
  <c r="H647" i="1"/>
  <c r="J647" i="1" s="1"/>
  <c r="D12" i="13"/>
  <c r="C12" i="13" s="1"/>
  <c r="C15" i="10"/>
  <c r="L229" i="1"/>
  <c r="G660" i="1" s="1"/>
  <c r="G664" i="1" s="1"/>
  <c r="G672" i="1" s="1"/>
  <c r="C5" i="10" s="1"/>
  <c r="C12" i="10"/>
  <c r="C10" i="10"/>
  <c r="C19" i="10"/>
  <c r="E13" i="13"/>
  <c r="C13" i="13" s="1"/>
  <c r="C17" i="10"/>
  <c r="E8" i="13"/>
  <c r="C8" i="13" s="1"/>
  <c r="E16" i="13"/>
  <c r="F22" i="13"/>
  <c r="C22" i="13" s="1"/>
  <c r="H112" i="1"/>
  <c r="H193" i="1" s="1"/>
  <c r="G629" i="1" s="1"/>
  <c r="J629" i="1" s="1"/>
  <c r="D14" i="13"/>
  <c r="C14" i="13" s="1"/>
  <c r="D6" i="13"/>
  <c r="C6" i="13" s="1"/>
  <c r="D15" i="13"/>
  <c r="C15" i="13" s="1"/>
  <c r="G651" i="1"/>
  <c r="J651" i="1" s="1"/>
  <c r="G649" i="1"/>
  <c r="J649" i="1" s="1"/>
  <c r="K500" i="1"/>
  <c r="J622" i="1"/>
  <c r="I460" i="1"/>
  <c r="I461" i="1" s="1"/>
  <c r="H642" i="1" s="1"/>
  <c r="J642" i="1" s="1"/>
  <c r="J640" i="1"/>
  <c r="L433" i="1"/>
  <c r="J338" i="1"/>
  <c r="J352" i="1" s="1"/>
  <c r="F338" i="1"/>
  <c r="F352" i="1" s="1"/>
  <c r="D127" i="2"/>
  <c r="D128" i="2" s="1"/>
  <c r="D145" i="2" s="1"/>
  <c r="C122" i="2"/>
  <c r="C121" i="2"/>
  <c r="C118" i="2"/>
  <c r="C111" i="2"/>
  <c r="C56" i="2"/>
  <c r="D50" i="2"/>
  <c r="D51" i="2" s="1"/>
  <c r="F18" i="2"/>
  <c r="C132" i="2"/>
  <c r="E132" i="2"/>
  <c r="I549" i="1"/>
  <c r="I552" i="1" s="1"/>
  <c r="L539" i="1"/>
  <c r="G549" i="1"/>
  <c r="L529" i="1"/>
  <c r="L545" i="1" s="1"/>
  <c r="F130" i="2"/>
  <c r="F144" i="2" s="1"/>
  <c r="F145" i="2" s="1"/>
  <c r="G661" i="1"/>
  <c r="L211" i="1"/>
  <c r="C142" i="2"/>
  <c r="C26" i="10"/>
  <c r="C16" i="10"/>
  <c r="E81" i="2"/>
  <c r="L382" i="1"/>
  <c r="G636" i="1" s="1"/>
  <c r="J636" i="1" s="1"/>
  <c r="K338" i="1"/>
  <c r="K352" i="1" s="1"/>
  <c r="C62" i="2"/>
  <c r="C63" i="2" s="1"/>
  <c r="C104" i="2" s="1"/>
  <c r="L337" i="1"/>
  <c r="F62" i="2"/>
  <c r="F63" i="2" s="1"/>
  <c r="C23" i="10"/>
  <c r="G163" i="2"/>
  <c r="G162" i="2"/>
  <c r="G160" i="2"/>
  <c r="G159" i="2"/>
  <c r="G158" i="2"/>
  <c r="G103" i="2"/>
  <c r="F103" i="2"/>
  <c r="F104" i="2" s="1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L571" i="1"/>
  <c r="I192" i="1"/>
  <c r="E91" i="2"/>
  <c r="L408" i="1"/>
  <c r="G637" i="1" s="1"/>
  <c r="J637" i="1" s="1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G169" i="1"/>
  <c r="C39" i="10" s="1"/>
  <c r="G140" i="1"/>
  <c r="F140" i="1"/>
  <c r="G63" i="2"/>
  <c r="G104" i="2" s="1"/>
  <c r="J618" i="1"/>
  <c r="G42" i="2"/>
  <c r="G50" i="2" s="1"/>
  <c r="G51" i="2" s="1"/>
  <c r="J51" i="1"/>
  <c r="G16" i="2"/>
  <c r="J19" i="1"/>
  <c r="G621" i="1" s="1"/>
  <c r="G18" i="2"/>
  <c r="F545" i="1"/>
  <c r="H434" i="1"/>
  <c r="J619" i="1"/>
  <c r="D103" i="2"/>
  <c r="D104" i="2" s="1"/>
  <c r="I140" i="1"/>
  <c r="I193" i="1" s="1"/>
  <c r="G630" i="1" s="1"/>
  <c r="J630" i="1" s="1"/>
  <c r="A22" i="12"/>
  <c r="H646" i="1"/>
  <c r="J652" i="1"/>
  <c r="G571" i="1"/>
  <c r="I434" i="1"/>
  <c r="G434" i="1"/>
  <c r="I663" i="1"/>
  <c r="C27" i="10"/>
  <c r="G635" i="1"/>
  <c r="J635" i="1" s="1"/>
  <c r="E104" i="2" l="1"/>
  <c r="C36" i="10"/>
  <c r="L338" i="1"/>
  <c r="L352" i="1" s="1"/>
  <c r="G633" i="1" s="1"/>
  <c r="J633" i="1" s="1"/>
  <c r="E115" i="2"/>
  <c r="E128" i="2"/>
  <c r="F33" i="13"/>
  <c r="F193" i="1"/>
  <c r="G627" i="1" s="1"/>
  <c r="J627" i="1" s="1"/>
  <c r="C115" i="2"/>
  <c r="H648" i="1"/>
  <c r="J648" i="1" s="1"/>
  <c r="G667" i="1"/>
  <c r="H664" i="1"/>
  <c r="H667" i="1" s="1"/>
  <c r="I661" i="1"/>
  <c r="K549" i="1"/>
  <c r="K552" i="1" s="1"/>
  <c r="G552" i="1"/>
  <c r="L257" i="1"/>
  <c r="L271" i="1" s="1"/>
  <c r="G632" i="1" s="1"/>
  <c r="J632" i="1" s="1"/>
  <c r="C28" i="10"/>
  <c r="D24" i="10" s="1"/>
  <c r="D31" i="13"/>
  <c r="C31" i="13" s="1"/>
  <c r="C141" i="2"/>
  <c r="C144" i="2" s="1"/>
  <c r="C128" i="2"/>
  <c r="E33" i="13"/>
  <c r="D35" i="13" s="1"/>
  <c r="C16" i="13"/>
  <c r="F660" i="1"/>
  <c r="C25" i="13"/>
  <c r="H33" i="13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E145" i="2" l="1"/>
  <c r="C145" i="2"/>
  <c r="D13" i="10"/>
  <c r="D21" i="10"/>
  <c r="D11" i="10"/>
  <c r="D22" i="10"/>
  <c r="H672" i="1"/>
  <c r="C6" i="10" s="1"/>
  <c r="D10" i="10"/>
  <c r="D26" i="10"/>
  <c r="C30" i="10"/>
  <c r="D16" i="10"/>
  <c r="D23" i="10"/>
  <c r="F664" i="1"/>
  <c r="I660" i="1"/>
  <c r="I664" i="1" s="1"/>
  <c r="I672" i="1" s="1"/>
  <c r="C7" i="10" s="1"/>
  <c r="D27" i="10"/>
  <c r="D20" i="10"/>
  <c r="D18" i="10"/>
  <c r="D15" i="10"/>
  <c r="D17" i="10"/>
  <c r="D25" i="10"/>
  <c r="D12" i="10"/>
  <c r="D19" i="10"/>
  <c r="H656" i="1"/>
  <c r="C41" i="10"/>
  <c r="D38" i="10" s="1"/>
  <c r="D28" i="10" l="1"/>
  <c r="I667" i="1"/>
  <c r="F672" i="1"/>
  <c r="C4" i="10" s="1"/>
  <c r="F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<sst xmlns="http://schemas.openxmlformats.org/spreadsheetml/2006/main" count="3957" uniqueCount="915">
  <si>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</si>
  <si>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</si>
  <si>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</si>
  <si>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</si>
  <si>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</si>
  <si>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</si>
  <si>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</si>
  <si>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</si>
  <si>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</si>
  <si>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</si>
  <si>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</si>
  <si>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</si>
  <si>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</si>
  <si>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</si>
  <si>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</si>
  <si>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</si>
  <si>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</si>
  <si>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</si>
  <si>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</si>
  <si>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</si>
  <si>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</si>
  <si>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</si>
  <si>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</si>
  <si>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</si>
  <si>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</si>
  <si>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</si>
  <si>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</si>
  <si>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</si>
  <si>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</si>
  <si>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</si>
  <si>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</si>
  <si>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</si>
  <si>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</si>
  <si>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</si>
  <si>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</si>
  <si>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</si>
  <si>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</si>
  <si>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</si>
  <si>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</si>
  <si>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</si>
  <si>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</si>
  <si>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</si>
  <si>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</si>
  <si>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</si>
  <si>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</si>
  <si>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</si>
  <si>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</si>
  <si>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</si>
  <si>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</si>
  <si>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</si>
  <si>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</si>
  <si>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</si>
  <si>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</si>
  <si>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</si>
  <si>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</si>
  <si>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</si>
  <si>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</si>
  <si>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</si>
  <si>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</si>
  <si>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</si>
  <si>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</si>
  <si>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</si>
  <si>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</si>
  <si>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</si>
  <si>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</si>
  <si>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</si>
  <si>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</si>
  <si>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</si>
  <si>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</si>
  <si>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</si>
  <si>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</si>
  <si>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</si>
  <si>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</si>
  <si>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</si>
  <si>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</si>
  <si>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</si>
  <si>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</si>
  <si>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</si>
  <si>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</si>
  <si>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</si>
  <si>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</si>
  <si>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</si>
  <si>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</si>
  <si>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</si>
  <si>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</si>
  <si>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</si>
  <si>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</si>
  <si>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</si>
  <si>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</si>
  <si>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</si>
  <si>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</si>
  <si>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</si>
  <si>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</si>
  <si>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</si>
  <si>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</si>
  <si>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</si>
  <si>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</si>
  <si>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</si>
  <si>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</si>
  <si>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</si>
  <si>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</si>
  <si>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</si>
  <si>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</si>
  <si>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</si>
  <si>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</si>
  <si>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</si>
  <si>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</si>
  <si>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</si>
  <si>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</si>
  <si>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</si>
  <si>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</si>
  <si>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</si>
  <si>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</si>
  <si>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</si>
  <si>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</si>
  <si>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</si>
  <si>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</si>
  <si>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</si>
  <si>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</si>
  <si>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</si>
  <si>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</si>
  <si>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</si>
  <si>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</si>
  <si>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</si>
  <si>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</si>
  <si>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</si>
  <si>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</si>
  <si>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</si>
  <si>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</si>
  <si>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</si>
  <si>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</si>
  <si>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</si>
  <si>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</si>
  <si>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</si>
  <si>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</si>
  <si>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</si>
  <si>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</si>
  <si>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</si>
  <si>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</si>
  <si>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</si>
  <si>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</si>
  <si>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</si>
  <si>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</si>
  <si>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</si>
  <si>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</si>
  <si>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</si>
  <si>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</si>
  <si>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</si>
  <si>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</si>
  <si>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</si>
  <si>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</si>
  <si>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</si>
  <si>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</si>
  <si>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</si>
  <si>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</si>
  <si>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</si>
  <si>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</si>
  <si>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</si>
  <si>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</si>
  <si>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</si>
  <si>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</si>
  <si>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</si>
  <si>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</si>
  <si>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</si>
  <si>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</si>
  <si>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</si>
  <si>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</si>
  <si>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</si>
  <si>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</si>
  <si>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</si>
  <si>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</si>
  <si>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</si>
  <si>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</si>
  <si>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</si>
  <si>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</si>
  <si>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</si>
  <si>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</si>
  <si>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</si>
  <si>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</si>
  <si>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</si>
  <si>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</si>
  <si>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</si>
  <si>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</si>
  <si>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</si>
  <si>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</si>
  <si>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</si>
  <si>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</si>
  <si>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</si>
  <si>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</si>
  <si>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</si>
  <si>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</si>
  <si>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</si>
  <si>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</si>
  <si>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</si>
  <si>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</si>
  <si>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</si>
  <si>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</si>
  <si>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</si>
  <si>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</si>
  <si>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</si>
  <si>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</si>
  <si>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</si>
  <si>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</si>
  <si>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</si>
  <si>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</si>
  <si>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</si>
  <si>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</si>
  <si>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</si>
  <si>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</si>
  <si>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</si>
  <si>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</si>
  <si>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</si>
  <si>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</si>
  <si>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</si>
  <si>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</si>
  <si>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</si>
  <si>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</si>
  <si>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</si>
  <si>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</si>
  <si>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</si>
  <si>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</si>
  <si>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</si>
  <si>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</si>
  <si>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</si>
  <si>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</si>
  <si>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</si>
  <si>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</si>
  <si>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</si>
  <si>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</si>
  <si>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</si>
  <si>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</si>
  <si>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</si>
  <si>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</si>
  <si>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</si>
  <si>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</si>
  <si>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</si>
  <si>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</si>
  <si>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</si>
  <si>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</si>
  <si>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</si>
  <si>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</si>
  <si>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</si>
  <si>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</si>
  <si>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</si>
  <si>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</si>
  <si>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</si>
  <si>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</si>
  <si>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</si>
  <si>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</si>
  <si>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</si>
  <si>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</si>
  <si>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</si>
  <si>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</si>
  <si>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</si>
  <si>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</si>
  <si>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</si>
  <si>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</si>
  <si>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</si>
  <si>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</si>
  <si>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</si>
  <si>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</si>
  <si>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</si>
  <si>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</si>
  <si>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</si>
  <si>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</si>
  <si>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</si>
  <si>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</si>
  <si>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</si>
  <si>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</si>
  <si>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</si>
  <si>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</si>
  <si>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</si>
  <si>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</si>
  <si>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</si>
  <si>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</si>
  <si>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</si>
  <si>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</si>
  <si>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</si>
  <si>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</si>
  <si>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</si>
  <si>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</si>
  <si>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</si>
  <si>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</si>
  <si>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</si>
  <si>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</si>
  <si>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</si>
  <si>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</si>
  <si>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</si>
  <si>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</si>
  <si>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</si>
  <si>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</si>
  <si>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</si>
  <si>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</si>
  <si>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</si>
  <si>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</si>
  <si>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</si>
  <si>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</si>
  <si>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</si>
  <si>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</si>
  <si>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</si>
  <si>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</si>
  <si>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</si>
  <si>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</si>
  <si>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</si>
  <si>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</si>
  <si>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</si>
  <si>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</si>
  <si>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</si>
  <si>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</si>
  <si>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</si>
  <si>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</si>
  <si>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</si>
  <si>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</si>
  <si>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</si>
  <si>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</si>
  <si>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</si>
  <si>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</si>
  <si>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</si>
  <si>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</si>
  <si>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</si>
  <si>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</si>
  <si>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</si>
  <si>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</si>
  <si>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</si>
  <si>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</si>
  <si>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</si>
  <si>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</si>
  <si>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</si>
  <si>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</si>
  <si>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</si>
  <si>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</si>
  <si>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</si>
  <si>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</si>
  <si>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</si>
  <si>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</si>
  <si>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</si>
  <si>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</si>
  <si>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</si>
  <si>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</si>
  <si>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</si>
  <si>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</si>
  <si>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</si>
  <si>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</si>
  <si>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</si>
  <si>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</si>
  <si>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</si>
  <si>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</si>
  <si>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</si>
  <si>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</si>
  <si>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</si>
  <si>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</si>
  <si>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</si>
  <si>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</si>
  <si>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</si>
  <si>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</si>
  <si>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</si>
  <si>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</si>
  <si>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</si>
  <si>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</si>
  <si>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</si>
  <si>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</si>
  <si>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</si>
  <si>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</si>
  <si>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</si>
  <si>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</si>
  <si>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</si>
  <si>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</si>
  <si>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</si>
  <si>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</si>
  <si>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</si>
  <si>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</si>
  <si>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</si>
  <si>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</si>
  <si>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</si>
  <si>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</si>
  <si>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</si>
  <si>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</si>
  <si>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</si>
  <si>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</si>
  <si>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</si>
  <si>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</si>
  <si>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</si>
  <si>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</si>
  <si>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</si>
  <si>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</si>
  <si>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</si>
  <si>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</si>
  <si>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</si>
  <si>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</si>
  <si>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</si>
  <si>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</si>
  <si>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</si>
  <si>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</si>
  <si>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</si>
  <si>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</si>
  <si>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</si>
  <si>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</si>
  <si>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</si>
  <si>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</si>
  <si>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</si>
  <si>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</si>
  <si>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</si>
  <si>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</si>
  <si>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</si>
  <si>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</si>
  <si>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</si>
  <si>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</si>
  <si>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</si>
  <si>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</si>
  <si>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</si>
  <si>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</si>
  <si>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</si>
  <si>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</si>
  <si>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</si>
  <si>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</si>
  <si>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</si>
  <si>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</si>
  <si>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</si>
  <si>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</si>
  <si>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</si>
  <si>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</si>
  <si>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</si>
  <si>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</si>
  <si>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</si>
  <si>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</si>
  <si>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</si>
  <si>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</si>
  <si>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</si>
  <si>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</si>
  <si>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</si>
  <si>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</si>
  <si>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</si>
  <si>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</si>
  <si>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</si>
  <si>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</si>
  <si>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</si>
  <si>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</si>
  <si>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</si>
  <si>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</si>
  <si>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</si>
  <si>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</si>
  <si>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</si>
  <si>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</si>
  <si>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</si>
  <si>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</si>
  <si>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</si>
  <si>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</si>
  <si>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</si>
  <si>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</si>
  <si>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</si>
  <si>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</si>
  <si>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</si>
  <si>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</si>
  <si>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</si>
  <si>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</si>
  <si>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</si>
  <si>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</si>
  <si>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</si>
  <si>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</si>
  <si>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</si>
  <si>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</si>
  <si>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</si>
  <si>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</si>
  <si>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</si>
  <si>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</si>
  <si>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</si>
  <si>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</si>
  <si>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</si>
  <si>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</si>
  <si>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</si>
  <si>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</si>
  <si>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</si>
  <si>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</si>
  <si>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</si>
  <si>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</si>
  <si>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</si>
  <si>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</si>
  <si>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</si>
  <si>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</si>
  <si>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</si>
  <si>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</si>
  <si>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</si>
  <si>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</si>
  <si>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</si>
  <si>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</si>
  <si>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</si>
  <si>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</si>
  <si>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</si>
  <si>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</si>
  <si>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</si>
  <si>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</si>
  <si>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</si>
  <si>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</si>
  <si>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</si>
  <si>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</si>
  <si>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</si>
  <si>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</si>
  <si>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</si>
  <si>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</si>
  <si>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</si>
  <si>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</si>
  <si>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</si>
  <si>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</si>
  <si>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</si>
  <si>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</si>
  <si>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</si>
  <si>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</si>
  <si>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</si>
  <si>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</si>
  <si>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</si>
  <si>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</si>
  <si>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</si>
  <si>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</si>
  <si>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</si>
  <si>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</si>
  <si>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</si>
  <si>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</si>
  <si>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</si>
  <si>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</si>
  <si>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</si>
  <si>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</si>
  <si>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</si>
  <si>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</si>
  <si>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</si>
  <si>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</si>
  <si>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</si>
  <si>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</si>
  <si>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</si>
  <si>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</si>
  <si>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</si>
  <si>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</si>
  <si>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</si>
  <si>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</si>
  <si>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</si>
  <si>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</si>
  <si>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</si>
  <si>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</si>
  <si>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</si>
  <si>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</si>
  <si>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</si>
  <si>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</si>
  <si>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</si>
  <si>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</si>
  <si>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</si>
  <si>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</si>
  <si>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</si>
  <si>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</si>
  <si>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</si>
  <si>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</si>
  <si>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</si>
  <si>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</si>
  <si>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</si>
  <si>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</si>
  <si>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</si>
  <si>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</si>
  <si>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</si>
  <si>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</si>
  <si>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</si>
  <si>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</si>
  <si>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</si>
  <si>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</si>
  <si>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</si>
  <si>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</si>
  <si>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</si>
  <si>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</si>
  <si>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</si>
  <si>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</si>
  <si>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</si>
  <si>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</si>
  <si>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</si>
  <si>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</si>
  <si>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</si>
  <si>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</si>
  <si>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</si>
  <si>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</si>
  <si>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</si>
  <si>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</si>
  <si>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</si>
  <si>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</si>
  <si>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</si>
  <si>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</si>
  <si>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</si>
  <si>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</si>
  <si>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</si>
  <si>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</si>
  <si>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</si>
  <si>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</si>
  <si>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</si>
  <si>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</si>
  <si>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</si>
  <si>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</si>
  <si>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</si>
  <si>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</si>
  <si>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</si>
  <si>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</si>
  <si>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</si>
  <si>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</si>
  <si>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</si>
  <si>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</si>
  <si>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</si>
  <si>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</si>
  <si>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</si>
  <si>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</si>
  <si>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</si>
  <si>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</si>
  <si>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</si>
  <si>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</si>
  <si>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</si>
  <si>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</si>
  <si>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</si>
  <si>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</si>
  <si>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</si>
  <si>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</si>
  <si>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</si>
  <si>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</si>
  <si>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</si>
  <si>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</si>
  <si>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</si>
  <si>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</si>
  <si>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</si>
  <si>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</si>
  <si>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</si>
  <si>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</si>
  <si>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</si>
  <si>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</si>
  <si>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</si>
  <si>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</si>
  <si>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</si>
  <si>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</si>
  <si>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</si>
  <si>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</si>
  <si>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</si>
  <si>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</si>
  <si>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</si>
  <si>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</si>
  <si>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</si>
  <si>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</si>
  <si>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</si>
  <si>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</si>
  <si>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</si>
  <si>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</si>
  <si>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</si>
  <si>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</si>
  <si>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</si>
  <si>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</si>
  <si>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</si>
  <si>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</si>
  <si>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</si>
  <si>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</si>
  <si>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</si>
  <si>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</si>
  <si>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</si>
  <si>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</si>
  <si>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</si>
  <si>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</si>
  <si>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</si>
  <si>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</si>
  <si>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</si>
  <si>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</si>
  <si>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</si>
  <si>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</si>
  <si>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</si>
  <si>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</si>
  <si>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</si>
  <si>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</si>
  <si>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</si>
  <si>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</si>
  <si>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</si>
  <si>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</si>
  <si>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</si>
  <si>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</si>
  <si>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</si>
  <si>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</si>
  <si>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</si>
  <si>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</si>
  <si>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</si>
  <si>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</si>
  <si>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</si>
  <si>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</si>
  <si>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</si>
  <si>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</si>
  <si>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</si>
  <si>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</si>
  <si>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</si>
  <si>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</si>
  <si>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</si>
  <si>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</si>
  <si>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</si>
  <si>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</si>
  <si>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</si>
  <si>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</si>
  <si>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</si>
  <si>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</si>
  <si>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</si>
  <si>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</si>
  <si>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</si>
  <si>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</si>
  <si>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</si>
  <si>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</si>
  <si>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</si>
  <si>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</si>
  <si>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</si>
  <si>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</si>
  <si>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</si>
  <si>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</si>
  <si>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</si>
  <si>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</si>
  <si>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</si>
  <si>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</si>
  <si>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</si>
  <si>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</si>
  <si>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</si>
  <si>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</si>
  <si>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</si>
  <si>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</si>
  <si>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</si>
  <si>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</si>
  <si>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</si>
  <si>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</si>
  <si>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</si>
  <si>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</si>
  <si>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</si>
  <si>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</si>
  <si>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</si>
  <si>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</si>
  <si>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</si>
  <si>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</si>
  <si>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</si>
  <si>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</si>
  <si>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</si>
  <si>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</si>
  <si>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</si>
  <si>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</si>
  <si>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</si>
  <si>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</si>
  <si>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</si>
  <si>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</si>
  <si>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</si>
  <si>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</si>
  <si>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</si>
  <si>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</si>
  <si>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</si>
  <si>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</si>
  <si>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</si>
  <si>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</si>
  <si>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</si>
  <si>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</si>
  <si>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</si>
  <si>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</si>
  <si>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</si>
  <si>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</si>
  <si>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</si>
  <si>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</si>
  <si>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</si>
  <si>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</si>
  <si>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</si>
  <si>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</si>
  <si>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</si>
  <si>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</si>
  <si>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</si>
  <si>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</si>
  <si>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</si>
  <si>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</si>
  <si>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</si>
  <si>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</si>
  <si>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</si>
  <si>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</si>
  <si>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</si>
  <si>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</si>
  <si>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</si>
  <si>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</si>
  <si>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</si>
  <si>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</si>
  <si>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</si>
  <si>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</si>
  <si>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</si>
  <si>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</si>
  <si>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</si>
  <si>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</si>
  <si>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</si>
  <si>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</si>
  <si>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</si>
  <si>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</si>
  <si>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</si>
  <si>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</si>
  <si>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</si>
  <si>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</si>
  <si>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</si>
  <si>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</si>
  <si>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</si>
  <si>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</si>
  <si>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</si>
  <si>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</si>
  <si>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</si>
  <si>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</si>
  <si>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</si>
  <si>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</si>
  <si>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</si>
  <si>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</si>
  <si>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</si>
  <si>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</si>
  <si>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</si>
  <si>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</si>
  <si>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</si>
  <si>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</si>
  <si>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</si>
  <si>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</si>
  <si>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</si>
  <si>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</si>
  <si>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</si>
  <si>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</si>
  <si>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</si>
  <si>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</si>
  <si>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</si>
  <si>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</si>
  <si>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</si>
  <si>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</si>
  <si>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</si>
  <si>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</si>
  <si>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</si>
  <si>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</si>
  <si>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</si>
  <si>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</si>
  <si>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</si>
  <si>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</si>
  <si>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</si>
  <si>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</si>
  <si>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</si>
  <si>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</si>
  <si>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</si>
  <si>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</si>
  <si>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</si>
  <si>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</si>
  <si>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</si>
  <si>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</si>
  <si>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</si>
  <si>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</si>
  <si>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</si>
  <si>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</si>
  <si>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</si>
  <si>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</si>
  <si>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</si>
  <si>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</si>
  <si>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</si>
  <si>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</si>
  <si>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</si>
  <si>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</si>
  <si>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</si>
  <si>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</si>
  <si>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</si>
  <si>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</si>
  <si>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</si>
  <si>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</si>
  <si>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</si>
  <si>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</si>
  <si>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</si>
  <si>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</si>
  <si>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</si>
  <si>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</si>
  <si>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</si>
  <si>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</si>
  <si>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</si>
  <si>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</si>
  <si>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</si>
  <si>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</si>
  <si>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</si>
  <si>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</si>
  <si>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</si>
  <si>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</si>
  <si>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</si>
  <si>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</si>
  <si>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</si>
  <si>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</si>
  <si>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</si>
  <si>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</si>
  <si>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</si>
  <si>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</si>
  <si>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</si>
  <si>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</si>
  <si>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</si>
  <si>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</si>
  <si>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</si>
  <si>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</si>
  <si>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</si>
  <si>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</si>
  <si>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</si>
  <si>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</si>
  <si>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</si>
  <si>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</si>
  <si>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</si>
  <si>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</si>
  <si>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</si>
  <si>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</si>
  <si>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</si>
  <si>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</si>
  <si>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</si>
  <si>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</si>
  <si>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</si>
  <si>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</si>
  <si>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</si>
  <si>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</si>
  <si>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</si>
  <si>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</si>
  <si>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</si>
  <si>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</si>
  <si>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</si>
  <si>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</si>
  <si>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</si>
  <si>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</si>
  <si>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</si>
  <si>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</si>
  <si>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adjust to audited financial statements</t>
  </si>
  <si>
    <t xml:space="preserve">special rev adjust to audit </t>
  </si>
  <si>
    <t>Monadnock Regional School District</t>
  </si>
  <si>
    <t>I put the refund from LGC  for prior years overcharge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</si>
</sst>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3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913</v>
      </c>
      <c r="B2" s="21">
        <v>363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2253589</v>
      </c>
      <c r="G9" s="18">
        <f>40389+235</f>
        <v>40624</v>
      </c>
      <c r="H9" s="18">
        <v>101195</v>
      </c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685</v>
      </c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349872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771889</v>
      </c>
      <c r="G12" s="18">
        <v>128792</v>
      </c>
      <c r="H12" s="18"/>
      <c r="I12" s="18">
        <v>83438</v>
      </c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18077</v>
      </c>
      <c r="G13" s="18"/>
      <c r="H13" s="18">
        <v>875263</v>
      </c>
      <c r="I13" s="18"/>
      <c r="J13" s="67">
        <f>SUM(I442)</f>
        <v>554280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3709</v>
      </c>
      <c r="G14" s="18"/>
      <c r="H14" s="18">
        <v>94141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3397821</v>
      </c>
      <c r="G19" s="41">
        <f>SUM(G9:G18)</f>
        <v>169416</v>
      </c>
      <c r="H19" s="41">
        <f>SUM(H9:H18)</f>
        <v>1070599</v>
      </c>
      <c r="I19" s="41">
        <f>SUM(I9:I18)</f>
        <v>83438</v>
      </c>
      <c r="J19" s="41">
        <f>SUM(J9:J18)</f>
        <v>554280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1626</v>
      </c>
      <c r="H22" s="18">
        <v>994969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157443</v>
      </c>
      <c r="G24" s="18">
        <v>41731</v>
      </c>
      <c r="H24" s="18">
        <v>14765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371840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529283</v>
      </c>
      <c r="G32" s="41">
        <f>SUM(G22:G31)</f>
        <v>43357</v>
      </c>
      <c r="H32" s="41">
        <f>SUM(H22:H31)</f>
        <v>1009734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724260</v>
      </c>
      <c r="G43" s="18">
        <v>126059</v>
      </c>
      <c r="H43" s="18">
        <v>60865</v>
      </c>
      <c r="I43" s="18"/>
      <c r="J43" s="13">
        <f>SUM(I456)</f>
        <v>4485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>
        <v>83438</v>
      </c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549795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2144278-5000</f>
        <v>2139278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2868538</v>
      </c>
      <c r="G51" s="41">
        <f>SUM(G35:G50)</f>
        <v>126059</v>
      </c>
      <c r="H51" s="41">
        <f>SUM(H35:H50)</f>
        <v>60865</v>
      </c>
      <c r="I51" s="41">
        <f>SUM(I35:I50)</f>
        <v>83438</v>
      </c>
      <c r="J51" s="41">
        <f>SUM(J35:J50)</f>
        <v>554280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3397821</v>
      </c>
      <c r="G52" s="41">
        <f>G51+G32</f>
        <v>169416</v>
      </c>
      <c r="H52" s="41">
        <f>H51+H32</f>
        <v>1070599</v>
      </c>
      <c r="I52" s="41">
        <f>I51+I32</f>
        <v>83438</v>
      </c>
      <c r="J52" s="41">
        <f>J51+J32</f>
        <v>554280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16631539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16631539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20502</v>
      </c>
      <c r="G63" s="24" t="s">
        <v>289</v>
      </c>
      <c r="H63" s="18">
        <v>173412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325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106895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136106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263828</v>
      </c>
      <c r="G79" s="45" t="s">
        <v>289</v>
      </c>
      <c r="H79" s="41">
        <f>SUM(H63:H78)</f>
        <v>173412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/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/>
      <c r="H96" s="18"/>
      <c r="I96" s="18"/>
      <c r="J96" s="18">
        <v>860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410690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>
        <v>228302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f>5799+1094</f>
        <v>6893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500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>
        <f>700+492</f>
        <v>1192</v>
      </c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f>407284+113645</f>
        <v>520929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215142</f>
        <v>215142</v>
      </c>
      <c r="G110" s="18"/>
      <c r="H110" s="18">
        <f>1201+129586+2936</f>
        <v>133723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744156</v>
      </c>
      <c r="G111" s="41">
        <f>SUM(G96:G110)</f>
        <v>410690</v>
      </c>
      <c r="H111" s="41">
        <f>SUM(H96:H110)</f>
        <v>362525</v>
      </c>
      <c r="I111" s="41">
        <f>SUM(I96:I110)</f>
        <v>0</v>
      </c>
      <c r="J111" s="41">
        <f>SUM(J96:J110)</f>
        <v>860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17639523</v>
      </c>
      <c r="G112" s="41">
        <f>G60+G111</f>
        <v>410690</v>
      </c>
      <c r="H112" s="41">
        <f>H60+H79+H94+H111</f>
        <v>535937</v>
      </c>
      <c r="I112" s="41">
        <f>I60+I111</f>
        <v>0</v>
      </c>
      <c r="J112" s="41">
        <f>J60+J111</f>
        <v>860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9643060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2549267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12192327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630701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265646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9393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12456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905740</v>
      </c>
      <c r="G136" s="41">
        <f>SUM(G123:G135)</f>
        <v>12456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13098067</v>
      </c>
      <c r="G140" s="41">
        <f>G121+SUM(G136:G137)</f>
        <v>12456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292021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1026533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v>7425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453007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400830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400830</v>
      </c>
      <c r="G162" s="41">
        <f>SUM(G150:G161)</f>
        <v>453007</v>
      </c>
      <c r="H162" s="41">
        <f>SUM(H150:H161)</f>
        <v>1325979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400830</v>
      </c>
      <c r="G169" s="41">
        <f>G147+G162+SUM(G163:G168)</f>
        <v>453007</v>
      </c>
      <c r="H169" s="41">
        <f>H147+H162+SUM(H163:H168)</f>
        <v>1325979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>
        <v>1514000</v>
      </c>
      <c r="J179" s="18">
        <v>200000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1514000</v>
      </c>
      <c r="J183" s="41">
        <f>SUM(J179:J182)</f>
        <v>200000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1514000</v>
      </c>
      <c r="J192" s="41">
        <f>J183</f>
        <v>200000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31138420</v>
      </c>
      <c r="G193" s="47">
        <f>G112+G140+G169+G192</f>
        <v>876153</v>
      </c>
      <c r="H193" s="47">
        <f>H112+H140+H169+H192</f>
        <v>1861916</v>
      </c>
      <c r="I193" s="47">
        <f>I112+I140+I169+I192</f>
        <v>1514000</v>
      </c>
      <c r="J193" s="47">
        <f>J112+J140+J192</f>
        <v>200860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3458369+37100</f>
        <v>3495469</v>
      </c>
      <c r="G197" s="18">
        <f>798067+1013687</f>
        <v>1811754</v>
      </c>
      <c r="H197" s="18">
        <f>59363+379</f>
        <v>59742</v>
      </c>
      <c r="I197" s="18">
        <f>99318</f>
        <v>99318</v>
      </c>
      <c r="J197" s="18">
        <v>7605</v>
      </c>
      <c r="K197" s="18">
        <v>14766</v>
      </c>
      <c r="L197" s="19">
        <f>SUM(F197:K197)</f>
        <v>5488654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1289669+204335</f>
        <v>1494004</v>
      </c>
      <c r="G198" s="18">
        <f>1070321+21938</f>
        <v>1092259</v>
      </c>
      <c r="H198" s="18">
        <f>12229+903451</f>
        <v>915680</v>
      </c>
      <c r="I198" s="18">
        <f>2488+254</f>
        <v>2742</v>
      </c>
      <c r="J198" s="18">
        <f>1177+288840</f>
        <v>290017</v>
      </c>
      <c r="K198" s="18"/>
      <c r="L198" s="19">
        <f>SUM(F198:K198)</f>
        <v>3794702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1450</v>
      </c>
      <c r="G200" s="18">
        <v>171</v>
      </c>
      <c r="H200" s="18">
        <v>425</v>
      </c>
      <c r="I200" s="18"/>
      <c r="J200" s="18"/>
      <c r="K200" s="18"/>
      <c r="L200" s="19">
        <f>SUM(F200:K200)</f>
        <v>2046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345316+294568</f>
        <v>639884</v>
      </c>
      <c r="G202" s="18">
        <f>142921+75353</f>
        <v>218274</v>
      </c>
      <c r="H202" s="18">
        <f>1351+2744</f>
        <v>4095</v>
      </c>
      <c r="I202" s="18">
        <f>3516+4069</f>
        <v>7585</v>
      </c>
      <c r="J202" s="18"/>
      <c r="K202" s="18">
        <v>550</v>
      </c>
      <c r="L202" s="19">
        <f t="shared" ref="L202:L208" si="0">SUM(F202:K202)</f>
        <v>870388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74951+70139</f>
        <v>145090</v>
      </c>
      <c r="G203" s="18">
        <f>11416+16402+100000</f>
        <v>127818</v>
      </c>
      <c r="H203" s="18">
        <v>27227</v>
      </c>
      <c r="I203" s="18">
        <f>1402+10066</f>
        <v>11468</v>
      </c>
      <c r="J203" s="18">
        <v>130</v>
      </c>
      <c r="K203" s="18">
        <f>962</f>
        <v>962</v>
      </c>
      <c r="L203" s="19">
        <f t="shared" si="0"/>
        <v>312695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144221</v>
      </c>
      <c r="G204" s="18">
        <v>22937</v>
      </c>
      <c r="H204" s="18">
        <v>130469</v>
      </c>
      <c r="I204" s="18">
        <v>3546</v>
      </c>
      <c r="J204" s="18">
        <v>4572</v>
      </c>
      <c r="K204" s="18">
        <v>10917</v>
      </c>
      <c r="L204" s="19">
        <f t="shared" si="0"/>
        <v>316662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447269+49756</f>
        <v>497025</v>
      </c>
      <c r="G205" s="18">
        <f>18649+150063+101000</f>
        <v>269712</v>
      </c>
      <c r="H205" s="18">
        <v>47285</v>
      </c>
      <c r="I205" s="18">
        <f>4323+501</f>
        <v>4824</v>
      </c>
      <c r="J205" s="18">
        <v>7683</v>
      </c>
      <c r="K205" s="18">
        <v>3387</v>
      </c>
      <c r="L205" s="19">
        <f t="shared" si="0"/>
        <v>829916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162688</v>
      </c>
      <c r="G206" s="18">
        <v>142424</v>
      </c>
      <c r="H206" s="18">
        <v>130036</v>
      </c>
      <c r="I206" s="18"/>
      <c r="J206" s="18">
        <v>5564</v>
      </c>
      <c r="K206" s="18"/>
      <c r="L206" s="19">
        <f t="shared" si="0"/>
        <v>440712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238273+249790</f>
        <v>488063</v>
      </c>
      <c r="G207" s="18">
        <f>153018+120972</f>
        <v>273990</v>
      </c>
      <c r="H207" s="18">
        <f>31070+130009</f>
        <v>161079</v>
      </c>
      <c r="I207" s="18">
        <f>365636+46205</f>
        <v>411841</v>
      </c>
      <c r="J207" s="18">
        <f>42111+16373</f>
        <v>58484</v>
      </c>
      <c r="K207" s="18">
        <v>69</v>
      </c>
      <c r="L207" s="19">
        <f t="shared" si="0"/>
        <v>1393526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48811</v>
      </c>
      <c r="G208" s="18">
        <v>4263</v>
      </c>
      <c r="H208" s="18">
        <f>819815+920</f>
        <v>820735</v>
      </c>
      <c r="I208" s="18">
        <v>166</v>
      </c>
      <c r="J208" s="18"/>
      <c r="K208" s="18"/>
      <c r="L208" s="19">
        <f t="shared" si="0"/>
        <v>873975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188824</v>
      </c>
      <c r="G209" s="18">
        <v>71731</v>
      </c>
      <c r="H209" s="18">
        <v>197982</v>
      </c>
      <c r="I209" s="18">
        <v>84432</v>
      </c>
      <c r="J209" s="18">
        <v>85632</v>
      </c>
      <c r="K209" s="18"/>
      <c r="L209" s="19">
        <f>SUM(F209:K209)</f>
        <v>628601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7305529</v>
      </c>
      <c r="G211" s="41">
        <f t="shared" si="1"/>
        <v>4035333</v>
      </c>
      <c r="H211" s="41">
        <f t="shared" si="1"/>
        <v>2494755</v>
      </c>
      <c r="I211" s="41">
        <f t="shared" si="1"/>
        <v>625922</v>
      </c>
      <c r="J211" s="41">
        <f t="shared" si="1"/>
        <v>459687</v>
      </c>
      <c r="K211" s="41">
        <f t="shared" si="1"/>
        <v>30651</v>
      </c>
      <c r="L211" s="41">
        <f t="shared" si="1"/>
        <v>14951877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1033312+10500</f>
        <v>1043812</v>
      </c>
      <c r="G215" s="18">
        <f>286893+231160</f>
        <v>518053</v>
      </c>
      <c r="H215" s="18">
        <f>4232+16801</f>
        <v>21033</v>
      </c>
      <c r="I215" s="18">
        <v>37041</v>
      </c>
      <c r="J215" s="18">
        <v>16364</v>
      </c>
      <c r="K215" s="18">
        <f>278+4179</f>
        <v>4457</v>
      </c>
      <c r="L215" s="19">
        <f>SUM(F215:K215)</f>
        <v>1640760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303871+57831</f>
        <v>361702</v>
      </c>
      <c r="G216" s="18">
        <f>302921+67120</f>
        <v>370041</v>
      </c>
      <c r="H216" s="18">
        <f>1637+255694</f>
        <v>257331</v>
      </c>
      <c r="I216" s="18">
        <f>704+7789</f>
        <v>8493</v>
      </c>
      <c r="J216" s="18">
        <f>333</f>
        <v>333</v>
      </c>
      <c r="K216" s="18"/>
      <c r="L216" s="19">
        <f>SUM(F216:K216)</f>
        <v>997900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54258</v>
      </c>
      <c r="G218" s="18">
        <v>5269</v>
      </c>
      <c r="H218" s="18">
        <v>13361</v>
      </c>
      <c r="I218" s="18">
        <v>17331</v>
      </c>
      <c r="J218" s="18">
        <v>3438</v>
      </c>
      <c r="K218" s="18">
        <v>3090</v>
      </c>
      <c r="L218" s="19">
        <f>SUM(F218:K218)</f>
        <v>96747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90050+83368</f>
        <v>173418</v>
      </c>
      <c r="G220" s="18">
        <f>40449+20385</f>
        <v>60834</v>
      </c>
      <c r="H220" s="18">
        <f>771+777</f>
        <v>1548</v>
      </c>
      <c r="I220" s="18">
        <f>995+6576</f>
        <v>7571</v>
      </c>
      <c r="J220" s="18">
        <v>131</v>
      </c>
      <c r="K220" s="18">
        <v>2741</v>
      </c>
      <c r="L220" s="19">
        <f t="shared" ref="L220:L226" si="2">SUM(F220:K220)</f>
        <v>246243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19851+25562</f>
        <v>45413</v>
      </c>
      <c r="G221" s="18">
        <f>6518+3231+27200</f>
        <v>36949</v>
      </c>
      <c r="H221" s="18">
        <f>4463+7706</f>
        <v>12169</v>
      </c>
      <c r="I221" s="18">
        <f>397+6629</f>
        <v>7026</v>
      </c>
      <c r="J221" s="18">
        <f>9275</f>
        <v>9275</v>
      </c>
      <c r="K221" s="18">
        <v>272</v>
      </c>
      <c r="L221" s="19">
        <f t="shared" si="2"/>
        <v>111104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40817</v>
      </c>
      <c r="G222" s="18">
        <v>6492</v>
      </c>
      <c r="H222" s="18">
        <v>36925</v>
      </c>
      <c r="I222" s="18">
        <v>1004</v>
      </c>
      <c r="J222" s="18">
        <v>1294</v>
      </c>
      <c r="K222" s="18">
        <v>3090</v>
      </c>
      <c r="L222" s="19">
        <f t="shared" si="2"/>
        <v>89622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f>14082+104914</f>
        <v>118996</v>
      </c>
      <c r="G223" s="18">
        <f>39051+5278+34729</f>
        <v>79058</v>
      </c>
      <c r="H223" s="18">
        <v>13271</v>
      </c>
      <c r="I223" s="18">
        <f>636+142</f>
        <v>778</v>
      </c>
      <c r="J223" s="18">
        <v>717</v>
      </c>
      <c r="K223" s="18">
        <v>1883</v>
      </c>
      <c r="L223" s="19">
        <f t="shared" si="2"/>
        <v>214703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46044</v>
      </c>
      <c r="G224" s="18">
        <v>40309</v>
      </c>
      <c r="H224" s="18">
        <v>36803</v>
      </c>
      <c r="I224" s="18"/>
      <c r="J224" s="18">
        <v>1575</v>
      </c>
      <c r="K224" s="18"/>
      <c r="L224" s="19">
        <f t="shared" si="2"/>
        <v>124731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f>67436+84505</f>
        <v>151941</v>
      </c>
      <c r="G225" s="18">
        <f>47890+34237</f>
        <v>82127</v>
      </c>
      <c r="H225" s="18">
        <f>8793+21208</f>
        <v>30001</v>
      </c>
      <c r="I225" s="18">
        <f>83044+13077</f>
        <v>96121</v>
      </c>
      <c r="J225" s="18">
        <f>11918+54</f>
        <v>11972</v>
      </c>
      <c r="K225" s="18">
        <v>19</v>
      </c>
      <c r="L225" s="19">
        <f t="shared" si="2"/>
        <v>372181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f>13814</f>
        <v>13814</v>
      </c>
      <c r="G226" s="18">
        <v>1206</v>
      </c>
      <c r="H226" s="18">
        <f>232023+40435-6288</f>
        <v>266170</v>
      </c>
      <c r="I226" s="18">
        <v>47</v>
      </c>
      <c r="J226" s="18"/>
      <c r="K226" s="18"/>
      <c r="L226" s="19">
        <f t="shared" si="2"/>
        <v>281237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53441</v>
      </c>
      <c r="G227" s="18">
        <v>20301</v>
      </c>
      <c r="H227" s="18">
        <v>56032</v>
      </c>
      <c r="I227" s="18">
        <v>23896</v>
      </c>
      <c r="J227" s="18">
        <v>24236</v>
      </c>
      <c r="K227" s="18"/>
      <c r="L227" s="19">
        <f>SUM(F227:K227)</f>
        <v>177906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2103656</v>
      </c>
      <c r="G229" s="41">
        <f>SUM(G215:G228)</f>
        <v>1220639</v>
      </c>
      <c r="H229" s="41">
        <f>SUM(H215:H228)</f>
        <v>744644</v>
      </c>
      <c r="I229" s="41">
        <f>SUM(I215:I228)</f>
        <v>199308</v>
      </c>
      <c r="J229" s="41">
        <f>SUM(J215:J228)</f>
        <v>69335</v>
      </c>
      <c r="K229" s="41">
        <f t="shared" si="3"/>
        <v>15552</v>
      </c>
      <c r="L229" s="41">
        <f t="shared" si="3"/>
        <v>4353134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2195789+22400</f>
        <v>2218189</v>
      </c>
      <c r="G233" s="18">
        <f>491215+612037</f>
        <v>1103252</v>
      </c>
      <c r="H233" s="18">
        <f>35842+8994</f>
        <v>44836</v>
      </c>
      <c r="I233" s="18">
        <f>78713</f>
        <v>78713</v>
      </c>
      <c r="J233" s="18">
        <v>34774</v>
      </c>
      <c r="K233" s="18">
        <f>591+8914</f>
        <v>9505</v>
      </c>
      <c r="L233" s="19">
        <f>SUM(F233:K233)</f>
        <v>3489269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645727+123372</f>
        <v>769099</v>
      </c>
      <c r="G234" s="18">
        <f>646232+142631</f>
        <v>788863</v>
      </c>
      <c r="H234" s="18">
        <f>3478+545480</f>
        <v>548958</v>
      </c>
      <c r="I234" s="18">
        <f>1502+16553</f>
        <v>18055</v>
      </c>
      <c r="J234" s="18">
        <v>710</v>
      </c>
      <c r="K234" s="18"/>
      <c r="L234" s="19">
        <f>SUM(F234:K234)</f>
        <v>2125685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64250</v>
      </c>
      <c r="I235" s="18"/>
      <c r="J235" s="18"/>
      <c r="K235" s="18"/>
      <c r="L235" s="19">
        <f>SUM(F235:K235)</f>
        <v>64250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115298</v>
      </c>
      <c r="G236" s="18">
        <v>11197</v>
      </c>
      <c r="H236" s="18">
        <v>28391</v>
      </c>
      <c r="I236" s="18">
        <v>36827</v>
      </c>
      <c r="J236" s="18">
        <v>7306</v>
      </c>
      <c r="K236" s="18">
        <v>6568</v>
      </c>
      <c r="L236" s="19">
        <f>SUM(F236:K236)</f>
        <v>205587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191355+177852</f>
        <v>369207</v>
      </c>
      <c r="G238" s="18">
        <f>86292+43318</f>
        <v>129610</v>
      </c>
      <c r="H238" s="18">
        <f>1638+1657</f>
        <v>3295</v>
      </c>
      <c r="I238" s="18">
        <f>2123+13974</f>
        <v>16097</v>
      </c>
      <c r="J238" s="18">
        <v>278</v>
      </c>
      <c r="K238" s="18">
        <v>5824</v>
      </c>
      <c r="L238" s="19">
        <f t="shared" ref="L238:L244" si="4">SUM(F238:K238)</f>
        <v>524311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42348+54320</f>
        <v>96668</v>
      </c>
      <c r="G239" s="18">
        <f>13851+6893+57795</f>
        <v>78539</v>
      </c>
      <c r="H239" s="18">
        <f>16439+9483</f>
        <v>25922</v>
      </c>
      <c r="I239" s="18">
        <f>14087+847</f>
        <v>14934</v>
      </c>
      <c r="J239" s="18">
        <v>19708</v>
      </c>
      <c r="K239" s="18">
        <v>581</v>
      </c>
      <c r="L239" s="19">
        <f t="shared" si="4"/>
        <v>236352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87077</v>
      </c>
      <c r="G240" s="18">
        <v>13849</v>
      </c>
      <c r="H240" s="18">
        <v>78773</v>
      </c>
      <c r="I240" s="18">
        <v>2141</v>
      </c>
      <c r="J240" s="18">
        <v>2760</v>
      </c>
      <c r="K240" s="18">
        <v>6592</v>
      </c>
      <c r="L240" s="19">
        <f t="shared" si="4"/>
        <v>191192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f>222942+30042</f>
        <v>252984</v>
      </c>
      <c r="G241" s="18">
        <f>11260+82982+73800</f>
        <v>168042</v>
      </c>
      <c r="H241" s="18">
        <f>28200</f>
        <v>28200</v>
      </c>
      <c r="I241" s="18">
        <f>1353+302</f>
        <v>1655</v>
      </c>
      <c r="J241" s="18">
        <v>1522</v>
      </c>
      <c r="K241" s="18">
        <v>4000</v>
      </c>
      <c r="L241" s="19">
        <f t="shared" si="4"/>
        <v>456403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98227</v>
      </c>
      <c r="G242" s="18">
        <v>85992</v>
      </c>
      <c r="H242" s="18">
        <v>78512</v>
      </c>
      <c r="I242" s="18"/>
      <c r="J242" s="18">
        <v>3360</v>
      </c>
      <c r="K242" s="18"/>
      <c r="L242" s="19">
        <f t="shared" si="4"/>
        <v>266091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143863+179574</f>
        <v>323437</v>
      </c>
      <c r="G243" s="18">
        <f>101767+73040</f>
        <v>174807</v>
      </c>
      <c r="H243" s="18">
        <f>18759+45067</f>
        <v>63826</v>
      </c>
      <c r="I243" s="18">
        <f>176467+27897</f>
        <v>204364</v>
      </c>
      <c r="J243" s="18">
        <f>25425+114</f>
        <v>25539</v>
      </c>
      <c r="K243" s="18">
        <v>41</v>
      </c>
      <c r="L243" s="19">
        <f t="shared" si="4"/>
        <v>792014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29471</v>
      </c>
      <c r="G244" s="18">
        <v>2574</v>
      </c>
      <c r="H244" s="18">
        <f>494983+85925+5368</f>
        <v>586276</v>
      </c>
      <c r="I244" s="18">
        <v>100</v>
      </c>
      <c r="J244" s="18"/>
      <c r="K244" s="18"/>
      <c r="L244" s="19">
        <f t="shared" si="4"/>
        <v>618421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114007</v>
      </c>
      <c r="G245" s="18">
        <v>43309</v>
      </c>
      <c r="H245" s="18">
        <v>119536</v>
      </c>
      <c r="I245" s="18">
        <v>50978</v>
      </c>
      <c r="J245" s="18">
        <v>51702</v>
      </c>
      <c r="K245" s="18"/>
      <c r="L245" s="19">
        <f>SUM(F245:K245)</f>
        <v>379532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4473664</v>
      </c>
      <c r="G247" s="41">
        <f t="shared" si="5"/>
        <v>2600034</v>
      </c>
      <c r="H247" s="41">
        <f t="shared" si="5"/>
        <v>1670775</v>
      </c>
      <c r="I247" s="41">
        <f t="shared" si="5"/>
        <v>423864</v>
      </c>
      <c r="J247" s="41">
        <f t="shared" si="5"/>
        <v>147659</v>
      </c>
      <c r="K247" s="41">
        <f t="shared" si="5"/>
        <v>33111</v>
      </c>
      <c r="L247" s="41">
        <f t="shared" si="5"/>
        <v>9349107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>
        <v>33600</v>
      </c>
      <c r="K255" s="18">
        <v>5000</v>
      </c>
      <c r="L255" s="19">
        <f t="shared" si="6"/>
        <v>38600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33600</v>
      </c>
      <c r="K256" s="41">
        <f t="shared" si="7"/>
        <v>5000</v>
      </c>
      <c r="L256" s="41">
        <f>SUM(F256:K256)</f>
        <v>38600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13882849</v>
      </c>
      <c r="G257" s="41">
        <f t="shared" si="8"/>
        <v>7856006</v>
      </c>
      <c r="H257" s="41">
        <f t="shared" si="8"/>
        <v>4910174</v>
      </c>
      <c r="I257" s="41">
        <f t="shared" si="8"/>
        <v>1249094</v>
      </c>
      <c r="J257" s="41">
        <f t="shared" si="8"/>
        <v>710281</v>
      </c>
      <c r="K257" s="41">
        <f t="shared" si="8"/>
        <v>84314</v>
      </c>
      <c r="L257" s="41">
        <f t="shared" si="8"/>
        <v>28692718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1514000</v>
      </c>
      <c r="L265" s="19">
        <f t="shared" si="9"/>
        <v>1514000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200000</v>
      </c>
      <c r="L266" s="19">
        <f t="shared" si="9"/>
        <v>200000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1714000</v>
      </c>
      <c r="L270" s="41">
        <f t="shared" si="9"/>
        <v>1714000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13882849</v>
      </c>
      <c r="G271" s="42">
        <f t="shared" si="11"/>
        <v>7856006</v>
      </c>
      <c r="H271" s="42">
        <f t="shared" si="11"/>
        <v>4910174</v>
      </c>
      <c r="I271" s="42">
        <f t="shared" si="11"/>
        <v>1249094</v>
      </c>
      <c r="J271" s="42">
        <f t="shared" si="11"/>
        <v>710281</v>
      </c>
      <c r="K271" s="42">
        <f t="shared" si="11"/>
        <v>1798314</v>
      </c>
      <c r="L271" s="42">
        <f t="shared" si="11"/>
        <v>30406718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18836</v>
      </c>
      <c r="G276" s="18">
        <v>3102</v>
      </c>
      <c r="H276" s="18"/>
      <c r="I276" s="18">
        <v>3485</v>
      </c>
      <c r="J276" s="18"/>
      <c r="K276" s="18"/>
      <c r="L276" s="19">
        <f>SUM(F276:K276)</f>
        <v>25423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142742</v>
      </c>
      <c r="G277" s="18">
        <v>31035</v>
      </c>
      <c r="H277" s="18"/>
      <c r="I277" s="18"/>
      <c r="J277" s="18"/>
      <c r="K277" s="18"/>
      <c r="L277" s="19">
        <f>SUM(F277:K277)</f>
        <v>173777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142624</v>
      </c>
      <c r="G279" s="18">
        <v>32740</v>
      </c>
      <c r="H279" s="18">
        <v>19994</v>
      </c>
      <c r="I279" s="18">
        <v>17850</v>
      </c>
      <c r="J279" s="18">
        <v>5502</v>
      </c>
      <c r="K279" s="18"/>
      <c r="L279" s="19">
        <f>SUM(F279:K279)</f>
        <v>218710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22871</v>
      </c>
      <c r="G281" s="18">
        <v>5343</v>
      </c>
      <c r="H281" s="18">
        <v>4069</v>
      </c>
      <c r="I281" s="18">
        <v>2697</v>
      </c>
      <c r="J281" s="18"/>
      <c r="K281" s="18"/>
      <c r="L281" s="19">
        <f t="shared" ref="L281:L287" si="12">SUM(F281:K281)</f>
        <v>34980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114482</v>
      </c>
      <c r="G282" s="18">
        <v>44189</v>
      </c>
      <c r="H282" s="18">
        <v>82107</v>
      </c>
      <c r="I282" s="18">
        <v>29677</v>
      </c>
      <c r="J282" s="18">
        <v>154</v>
      </c>
      <c r="K282" s="18"/>
      <c r="L282" s="19">
        <f t="shared" si="12"/>
        <v>270609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58093</v>
      </c>
      <c r="G283" s="18">
        <v>31483</v>
      </c>
      <c r="H283" s="18">
        <v>3047</v>
      </c>
      <c r="I283" s="18">
        <v>413</v>
      </c>
      <c r="J283" s="18"/>
      <c r="K283" s="18"/>
      <c r="L283" s="19">
        <f t="shared" si="12"/>
        <v>93036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17161</v>
      </c>
      <c r="G284" s="18">
        <v>7241</v>
      </c>
      <c r="H284" s="18">
        <v>1347</v>
      </c>
      <c r="I284" s="18">
        <v>2424</v>
      </c>
      <c r="J284" s="18">
        <v>1318</v>
      </c>
      <c r="K284" s="18"/>
      <c r="L284" s="19">
        <f t="shared" si="12"/>
        <v>29491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17350</v>
      </c>
      <c r="I287" s="18"/>
      <c r="J287" s="18"/>
      <c r="K287" s="18"/>
      <c r="L287" s="19">
        <f t="shared" si="12"/>
        <v>17350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>
        <v>274</v>
      </c>
      <c r="J288" s="18"/>
      <c r="K288" s="18">
        <v>1033</v>
      </c>
      <c r="L288" s="19">
        <f>SUM(F288:K288)</f>
        <v>1307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516809</v>
      </c>
      <c r="G290" s="42">
        <f t="shared" si="13"/>
        <v>155133</v>
      </c>
      <c r="H290" s="42">
        <f t="shared" si="13"/>
        <v>127914</v>
      </c>
      <c r="I290" s="42">
        <f t="shared" si="13"/>
        <v>56820</v>
      </c>
      <c r="J290" s="42">
        <f t="shared" si="13"/>
        <v>6974</v>
      </c>
      <c r="K290" s="42">
        <f t="shared" si="13"/>
        <v>1033</v>
      </c>
      <c r="L290" s="41">
        <f t="shared" si="13"/>
        <v>864683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5331</v>
      </c>
      <c r="G295" s="18">
        <v>878</v>
      </c>
      <c r="H295" s="18"/>
      <c r="I295" s="18">
        <v>986</v>
      </c>
      <c r="J295" s="18"/>
      <c r="K295" s="18"/>
      <c r="L295" s="19">
        <f>SUM(F295:K295)</f>
        <v>7195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40399</v>
      </c>
      <c r="G296" s="18">
        <v>8783</v>
      </c>
      <c r="H296" s="18"/>
      <c r="I296" s="18"/>
      <c r="J296" s="18"/>
      <c r="K296" s="18"/>
      <c r="L296" s="19">
        <f>SUM(F296:K296)</f>
        <v>49182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v>40365</v>
      </c>
      <c r="G298" s="18">
        <v>9266</v>
      </c>
      <c r="H298" s="18">
        <v>5659</v>
      </c>
      <c r="I298" s="18">
        <v>5052</v>
      </c>
      <c r="J298" s="18">
        <v>1557</v>
      </c>
      <c r="K298" s="18"/>
      <c r="L298" s="19">
        <f>SUM(F298:K298)</f>
        <v>61899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6473</v>
      </c>
      <c r="G300" s="18">
        <v>1512</v>
      </c>
      <c r="H300" s="18">
        <v>1152</v>
      </c>
      <c r="I300" s="18">
        <v>763</v>
      </c>
      <c r="J300" s="18"/>
      <c r="K300" s="18"/>
      <c r="L300" s="19">
        <f t="shared" ref="L300:L306" si="14">SUM(F300:K300)</f>
        <v>9900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32400</v>
      </c>
      <c r="G301" s="18">
        <v>12506</v>
      </c>
      <c r="H301" s="18">
        <v>23238</v>
      </c>
      <c r="I301" s="18">
        <v>8399</v>
      </c>
      <c r="J301" s="18">
        <v>43</v>
      </c>
      <c r="K301" s="18"/>
      <c r="L301" s="19">
        <f t="shared" si="14"/>
        <v>76586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>
        <v>16441</v>
      </c>
      <c r="G302" s="18">
        <v>8910</v>
      </c>
      <c r="H302" s="18">
        <v>862</v>
      </c>
      <c r="I302" s="18">
        <v>117</v>
      </c>
      <c r="J302" s="18"/>
      <c r="K302" s="18"/>
      <c r="L302" s="19">
        <f t="shared" si="14"/>
        <v>26330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>
        <v>4857</v>
      </c>
      <c r="G303" s="18">
        <v>2049</v>
      </c>
      <c r="H303" s="18">
        <v>381</v>
      </c>
      <c r="I303" s="18">
        <v>686</v>
      </c>
      <c r="J303" s="18">
        <v>373</v>
      </c>
      <c r="K303" s="18"/>
      <c r="L303" s="19">
        <f t="shared" si="14"/>
        <v>8346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>
        <v>4910</v>
      </c>
      <c r="I306" s="18"/>
      <c r="J306" s="18"/>
      <c r="K306" s="18"/>
      <c r="L306" s="19">
        <f t="shared" si="14"/>
        <v>4910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>
        <v>78</v>
      </c>
      <c r="J307" s="18"/>
      <c r="K307" s="18">
        <v>292</v>
      </c>
      <c r="L307" s="19">
        <f>SUM(F307:K307)</f>
        <v>370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146266</v>
      </c>
      <c r="G309" s="42">
        <f t="shared" si="15"/>
        <v>43904</v>
      </c>
      <c r="H309" s="42">
        <f t="shared" si="15"/>
        <v>36202</v>
      </c>
      <c r="I309" s="42">
        <f t="shared" si="15"/>
        <v>16081</v>
      </c>
      <c r="J309" s="42">
        <f t="shared" si="15"/>
        <v>1973</v>
      </c>
      <c r="K309" s="42">
        <f t="shared" si="15"/>
        <v>292</v>
      </c>
      <c r="L309" s="41">
        <f t="shared" si="15"/>
        <v>244718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11372</v>
      </c>
      <c r="G314" s="18">
        <v>1873</v>
      </c>
      <c r="H314" s="18"/>
      <c r="I314" s="18">
        <v>2104</v>
      </c>
      <c r="J314" s="18"/>
      <c r="K314" s="18"/>
      <c r="L314" s="19">
        <f>SUM(F314:K314)</f>
        <v>15349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86184</v>
      </c>
      <c r="G315" s="18">
        <v>18738</v>
      </c>
      <c r="H315" s="18"/>
      <c r="I315" s="18"/>
      <c r="J315" s="18"/>
      <c r="K315" s="18"/>
      <c r="L315" s="19">
        <f>SUM(F315:K315)</f>
        <v>104922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86113</v>
      </c>
      <c r="G317" s="18">
        <v>19767</v>
      </c>
      <c r="H317" s="18">
        <v>12072</v>
      </c>
      <c r="I317" s="18">
        <v>10778</v>
      </c>
      <c r="J317" s="18">
        <v>3322</v>
      </c>
      <c r="K317" s="18"/>
      <c r="L317" s="19">
        <f>SUM(F317:K317)</f>
        <v>132052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13809</v>
      </c>
      <c r="G319" s="18">
        <v>3226</v>
      </c>
      <c r="H319" s="18">
        <v>2457</v>
      </c>
      <c r="I319" s="18">
        <v>1628</v>
      </c>
      <c r="J319" s="18"/>
      <c r="K319" s="18"/>
      <c r="L319" s="19">
        <f t="shared" ref="L319:L325" si="16">SUM(F319:K319)</f>
        <v>21120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69121</v>
      </c>
      <c r="G320" s="18">
        <v>26680</v>
      </c>
      <c r="H320" s="18">
        <v>49574</v>
      </c>
      <c r="I320" s="18">
        <v>17918</v>
      </c>
      <c r="J320" s="18">
        <v>93</v>
      </c>
      <c r="K320" s="18"/>
      <c r="L320" s="19">
        <f t="shared" si="16"/>
        <v>163386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v>35075</v>
      </c>
      <c r="G321" s="18">
        <v>19009</v>
      </c>
      <c r="H321" s="18">
        <v>1840</v>
      </c>
      <c r="I321" s="18">
        <v>250</v>
      </c>
      <c r="J321" s="18"/>
      <c r="K321" s="18"/>
      <c r="L321" s="19">
        <f t="shared" si="16"/>
        <v>56174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>
        <v>10362</v>
      </c>
      <c r="G322" s="18">
        <v>4372</v>
      </c>
      <c r="H322" s="18">
        <v>813</v>
      </c>
      <c r="I322" s="18">
        <v>1464</v>
      </c>
      <c r="J322" s="18">
        <v>796</v>
      </c>
      <c r="K322" s="18"/>
      <c r="L322" s="19">
        <f t="shared" si="16"/>
        <v>17807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>
        <v>10476</v>
      </c>
      <c r="I325" s="18"/>
      <c r="J325" s="18"/>
      <c r="K325" s="18"/>
      <c r="L325" s="19">
        <f t="shared" si="16"/>
        <v>10476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>
        <v>165</v>
      </c>
      <c r="J326" s="18"/>
      <c r="K326" s="18">
        <v>622</v>
      </c>
      <c r="L326" s="19">
        <f>SUM(F326:K326)</f>
        <v>787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312036</v>
      </c>
      <c r="G328" s="42">
        <f t="shared" si="17"/>
        <v>93665</v>
      </c>
      <c r="H328" s="42">
        <f t="shared" si="17"/>
        <v>77232</v>
      </c>
      <c r="I328" s="42">
        <f t="shared" si="17"/>
        <v>34307</v>
      </c>
      <c r="J328" s="42">
        <f t="shared" si="17"/>
        <v>4211</v>
      </c>
      <c r="K328" s="42">
        <f t="shared" si="17"/>
        <v>622</v>
      </c>
      <c r="L328" s="41">
        <f t="shared" si="17"/>
        <v>522073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975111</v>
      </c>
      <c r="G338" s="41">
        <f t="shared" si="20"/>
        <v>292702</v>
      </c>
      <c r="H338" s="41">
        <f t="shared" si="20"/>
        <v>241348</v>
      </c>
      <c r="I338" s="41">
        <f t="shared" si="20"/>
        <v>107208</v>
      </c>
      <c r="J338" s="41">
        <f t="shared" si="20"/>
        <v>13158</v>
      </c>
      <c r="K338" s="41">
        <f t="shared" si="20"/>
        <v>1947</v>
      </c>
      <c r="L338" s="41">
        <f t="shared" si="20"/>
        <v>1631474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975111</v>
      </c>
      <c r="G352" s="41">
        <f>G338</f>
        <v>292702</v>
      </c>
      <c r="H352" s="41">
        <f>H338</f>
        <v>241348</v>
      </c>
      <c r="I352" s="41">
        <f>I338</f>
        <v>107208</v>
      </c>
      <c r="J352" s="41">
        <f>J338</f>
        <v>13158</v>
      </c>
      <c r="K352" s="47">
        <f>K338+K351</f>
        <v>1947</v>
      </c>
      <c r="L352" s="41">
        <f>L338+L351</f>
        <v>1631474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179275</v>
      </c>
      <c r="G358" s="18">
        <v>81070</v>
      </c>
      <c r="H358" s="18">
        <v>10691</v>
      </c>
      <c r="I358" s="18">
        <v>208004</v>
      </c>
      <c r="J358" s="18">
        <v>159</v>
      </c>
      <c r="K358" s="18">
        <v>298</v>
      </c>
      <c r="L358" s="13">
        <f>SUM(F358:K358)</f>
        <v>479497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50738</v>
      </c>
      <c r="G359" s="18">
        <v>22944</v>
      </c>
      <c r="H359" s="18">
        <v>3025</v>
      </c>
      <c r="I359" s="18">
        <v>58869</v>
      </c>
      <c r="J359" s="18">
        <v>45</v>
      </c>
      <c r="K359" s="18">
        <v>84</v>
      </c>
      <c r="L359" s="19">
        <f>SUM(F359:K359)</f>
        <v>135705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108242</v>
      </c>
      <c r="G360" s="18">
        <v>48948</v>
      </c>
      <c r="H360" s="18">
        <v>6455</v>
      </c>
      <c r="I360" s="18">
        <v>125587</v>
      </c>
      <c r="J360" s="18">
        <v>96</v>
      </c>
      <c r="K360" s="18">
        <v>180</v>
      </c>
      <c r="L360" s="19">
        <f>SUM(F360:K360)</f>
        <v>289508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338255</v>
      </c>
      <c r="G362" s="47">
        <f t="shared" si="22"/>
        <v>152962</v>
      </c>
      <c r="H362" s="47">
        <f t="shared" si="22"/>
        <v>20171</v>
      </c>
      <c r="I362" s="47">
        <f t="shared" si="22"/>
        <v>392460</v>
      </c>
      <c r="J362" s="47">
        <f t="shared" si="22"/>
        <v>300</v>
      </c>
      <c r="K362" s="47">
        <f t="shared" si="22"/>
        <v>562</v>
      </c>
      <c r="L362" s="47">
        <f t="shared" si="22"/>
        <v>904710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190764</v>
      </c>
      <c r="G367" s="18">
        <v>53990</v>
      </c>
      <c r="H367" s="18">
        <v>115179</v>
      </c>
      <c r="I367" s="56">
        <f>SUM(F367:H367)</f>
        <v>359933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17239</v>
      </c>
      <c r="G368" s="63">
        <v>4879</v>
      </c>
      <c r="H368" s="63">
        <v>10409</v>
      </c>
      <c r="I368" s="56">
        <f>SUM(F368:H368)</f>
        <v>32527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208003</v>
      </c>
      <c r="G369" s="47">
        <f>SUM(G367:G368)</f>
        <v>58869</v>
      </c>
      <c r="H369" s="47">
        <f>SUM(H367:H368)</f>
        <v>125588</v>
      </c>
      <c r="I369" s="47">
        <f>SUM(I367:I368)</f>
        <v>392460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>
        <v>1343421</v>
      </c>
      <c r="I379" s="18"/>
      <c r="J379" s="18"/>
      <c r="K379" s="18"/>
      <c r="L379" s="13">
        <f t="shared" si="23"/>
        <v>1343421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1343421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1343421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>
        <v>8</v>
      </c>
      <c r="I389" s="18"/>
      <c r="J389" s="24" t="s">
        <v>289</v>
      </c>
      <c r="K389" s="24" t="s">
        <v>289</v>
      </c>
      <c r="L389" s="56">
        <f t="shared" si="25"/>
        <v>8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8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8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>
        <v>93</v>
      </c>
      <c r="I395" s="18"/>
      <c r="J395" s="24" t="s">
        <v>289</v>
      </c>
      <c r="K395" s="24" t="s">
        <v>289</v>
      </c>
      <c r="L395" s="56">
        <f t="shared" ref="L395:L400" si="26">SUM(F395:K395)</f>
        <v>93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98</v>
      </c>
      <c r="I396" s="18"/>
      <c r="J396" s="24" t="s">
        <v>289</v>
      </c>
      <c r="K396" s="24" t="s">
        <v>289</v>
      </c>
      <c r="L396" s="56">
        <f t="shared" si="26"/>
        <v>98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50000</v>
      </c>
      <c r="H397" s="18">
        <v>412</v>
      </c>
      <c r="I397" s="18"/>
      <c r="J397" s="24" t="s">
        <v>289</v>
      </c>
      <c r="K397" s="24" t="s">
        <v>289</v>
      </c>
      <c r="L397" s="56">
        <f t="shared" si="26"/>
        <v>50412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>
        <v>150000</v>
      </c>
      <c r="H400" s="18">
        <v>249</v>
      </c>
      <c r="I400" s="18"/>
      <c r="J400" s="24" t="s">
        <v>289</v>
      </c>
      <c r="K400" s="24" t="s">
        <v>289</v>
      </c>
      <c r="L400" s="56">
        <f t="shared" si="26"/>
        <v>150249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200000</v>
      </c>
      <c r="H401" s="47">
        <f>SUM(H395:H400)</f>
        <v>852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200852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200000</v>
      </c>
      <c r="H408" s="47">
        <f>H393+H401+H407</f>
        <v>860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200860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>
        <f>32444+97141</f>
        <v>129585</v>
      </c>
      <c r="L426" s="56">
        <f t="shared" si="29"/>
        <v>129585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129585</v>
      </c>
      <c r="L427" s="47">
        <f t="shared" si="30"/>
        <v>129585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129585</v>
      </c>
      <c r="L434" s="47">
        <f t="shared" si="32"/>
        <v>129585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4485</v>
      </c>
      <c r="G442" s="18">
        <v>549795</v>
      </c>
      <c r="H442" s="18"/>
      <c r="I442" s="56">
        <f t="shared" si="33"/>
        <v>554280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4485</v>
      </c>
      <c r="G446" s="13">
        <f>SUM(G439:G445)</f>
        <v>549795</v>
      </c>
      <c r="H446" s="13">
        <f>SUM(H439:H445)</f>
        <v>0</v>
      </c>
      <c r="I446" s="13">
        <f>SUM(I439:I445)</f>
        <v>554280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>
        <v>4485</v>
      </c>
      <c r="G456" s="18"/>
      <c r="H456" s="18"/>
      <c r="I456" s="56">
        <f t="shared" si="34"/>
        <v>4485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549795</v>
      </c>
      <c r="H459" s="18"/>
      <c r="I459" s="56">
        <f t="shared" si="34"/>
        <v>549795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4485</v>
      </c>
      <c r="G460" s="83">
        <f>SUM(G454:G459)</f>
        <v>549795</v>
      </c>
      <c r="H460" s="83">
        <f>SUM(H454:H459)</f>
        <v>0</v>
      </c>
      <c r="I460" s="83">
        <f>SUM(I454:I459)</f>
        <v>554280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4485</v>
      </c>
      <c r="G461" s="42">
        <f>G452+G460</f>
        <v>549795</v>
      </c>
      <c r="H461" s="42">
        <f>H452+H460</f>
        <v>0</v>
      </c>
      <c r="I461" s="42">
        <f>I452+I460</f>
        <v>554280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2281943</v>
      </c>
      <c r="G465" s="18">
        <v>160080</v>
      </c>
      <c r="H465" s="18">
        <v>369298</v>
      </c>
      <c r="I465" s="18">
        <v>-87141</v>
      </c>
      <c r="J465" s="18">
        <v>483005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31138420</v>
      </c>
      <c r="G468" s="18">
        <v>876153</v>
      </c>
      <c r="H468" s="18">
        <v>1861916</v>
      </c>
      <c r="I468" s="18">
        <v>1514000</v>
      </c>
      <c r="J468" s="18">
        <v>200860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31138420</v>
      </c>
      <c r="G470" s="53">
        <f>SUM(G468:G469)</f>
        <v>876153</v>
      </c>
      <c r="H470" s="53">
        <f>SUM(H468:H469)</f>
        <v>1861916</v>
      </c>
      <c r="I470" s="53">
        <f>SUM(I468:I469)</f>
        <v>1514000</v>
      </c>
      <c r="J470" s="53">
        <f>SUM(J468:J469)</f>
        <v>200860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30406718</v>
      </c>
      <c r="G472" s="18">
        <v>904710</v>
      </c>
      <c r="H472" s="18">
        <v>1631474</v>
      </c>
      <c r="I472" s="18">
        <v>1343421</v>
      </c>
      <c r="J472" s="18">
        <v>129585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>
        <v>145107</v>
      </c>
      <c r="G473" s="18">
        <v>5464</v>
      </c>
      <c r="H473" s="18">
        <v>538875</v>
      </c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30551825</v>
      </c>
      <c r="G474" s="53">
        <f>SUM(G472:G473)</f>
        <v>910174</v>
      </c>
      <c r="H474" s="53">
        <f>SUM(H472:H473)</f>
        <v>2170349</v>
      </c>
      <c r="I474" s="53">
        <f>SUM(I472:I473)</f>
        <v>1343421</v>
      </c>
      <c r="J474" s="53">
        <f>SUM(J472:J473)</f>
        <v>129585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2868538</v>
      </c>
      <c r="G476" s="53">
        <f>(G465+G470)- G474</f>
        <v>126059</v>
      </c>
      <c r="H476" s="53">
        <f>(H465+H470)- H474</f>
        <v>60865</v>
      </c>
      <c r="I476" s="53">
        <f>(I465+I470)- I474</f>
        <v>83438</v>
      </c>
      <c r="J476" s="53">
        <f>(J465+J470)- J474</f>
        <v>554280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 t="s">
        <v>911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 t="s">
        <v>912</v>
      </c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1375228</v>
      </c>
      <c r="G521" s="18">
        <v>298838</v>
      </c>
      <c r="H521" s="18">
        <v>904884</v>
      </c>
      <c r="I521" s="18">
        <v>21420</v>
      </c>
      <c r="J521" s="18">
        <v>12803</v>
      </c>
      <c r="K521" s="18"/>
      <c r="L521" s="88">
        <f>SUM(F521:K521)</f>
        <v>2613173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389216</v>
      </c>
      <c r="G522" s="18">
        <v>84577</v>
      </c>
      <c r="H522" s="18">
        <v>256099</v>
      </c>
      <c r="I522" s="18">
        <v>6062</v>
      </c>
      <c r="J522" s="18">
        <v>3624</v>
      </c>
      <c r="K522" s="18"/>
      <c r="L522" s="88">
        <f>SUM(F522:K522)</f>
        <v>739578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830326</v>
      </c>
      <c r="G523" s="18">
        <v>180431</v>
      </c>
      <c r="H523" s="18">
        <v>546345</v>
      </c>
      <c r="I523" s="18">
        <v>12934</v>
      </c>
      <c r="J523" s="18">
        <v>7730</v>
      </c>
      <c r="K523" s="18"/>
      <c r="L523" s="88">
        <f>SUM(F523:K523)</f>
        <v>1577766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2594770</v>
      </c>
      <c r="G524" s="108">
        <f t="shared" ref="G524:L524" si="36">SUM(G521:G523)</f>
        <v>563846</v>
      </c>
      <c r="H524" s="108">
        <f t="shared" si="36"/>
        <v>1707328</v>
      </c>
      <c r="I524" s="108">
        <f t="shared" si="36"/>
        <v>40416</v>
      </c>
      <c r="J524" s="108">
        <f t="shared" si="36"/>
        <v>24157</v>
      </c>
      <c r="K524" s="108">
        <f t="shared" si="36"/>
        <v>0</v>
      </c>
      <c r="L524" s="89">
        <f t="shared" si="36"/>
        <v>4930517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282249</v>
      </c>
      <c r="G526" s="18">
        <v>138891</v>
      </c>
      <c r="H526" s="18">
        <v>2744</v>
      </c>
      <c r="I526" s="18">
        <v>3516</v>
      </c>
      <c r="J526" s="18"/>
      <c r="K526" s="18"/>
      <c r="L526" s="88">
        <f>SUM(F526:K526)</f>
        <v>427400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79882</v>
      </c>
      <c r="G527" s="18">
        <v>39309</v>
      </c>
      <c r="H527" s="18">
        <v>777</v>
      </c>
      <c r="I527" s="18">
        <v>995</v>
      </c>
      <c r="J527" s="18"/>
      <c r="K527" s="18"/>
      <c r="L527" s="88">
        <f>SUM(F527:K527)</f>
        <v>120963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170415</v>
      </c>
      <c r="G528" s="18">
        <v>83859</v>
      </c>
      <c r="H528" s="18">
        <v>1657</v>
      </c>
      <c r="I528" s="18">
        <v>2122</v>
      </c>
      <c r="J528" s="18"/>
      <c r="K528" s="18"/>
      <c r="L528" s="88">
        <f>SUM(F528:K528)</f>
        <v>258053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532546</v>
      </c>
      <c r="G529" s="89">
        <f t="shared" ref="G529:L529" si="37">SUM(G526:G528)</f>
        <v>262059</v>
      </c>
      <c r="H529" s="89">
        <f t="shared" si="37"/>
        <v>5178</v>
      </c>
      <c r="I529" s="89">
        <f t="shared" si="37"/>
        <v>6633</v>
      </c>
      <c r="J529" s="89">
        <f t="shared" si="37"/>
        <v>0</v>
      </c>
      <c r="K529" s="89">
        <f t="shared" si="37"/>
        <v>0</v>
      </c>
      <c r="L529" s="89">
        <f t="shared" si="37"/>
        <v>806416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53138</v>
      </c>
      <c r="G531" s="18">
        <v>30247</v>
      </c>
      <c r="H531" s="18">
        <v>1412</v>
      </c>
      <c r="I531" s="18"/>
      <c r="J531" s="18"/>
      <c r="K531" s="18"/>
      <c r="L531" s="88">
        <f>SUM(F531:K531)</f>
        <v>84797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15039</v>
      </c>
      <c r="G532" s="18">
        <v>8560</v>
      </c>
      <c r="H532" s="18">
        <v>400</v>
      </c>
      <c r="I532" s="18"/>
      <c r="J532" s="18"/>
      <c r="K532" s="18"/>
      <c r="L532" s="88">
        <f>SUM(F532:K532)</f>
        <v>23999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32083</v>
      </c>
      <c r="G533" s="18">
        <v>18262</v>
      </c>
      <c r="H533" s="18">
        <v>853</v>
      </c>
      <c r="I533" s="18"/>
      <c r="J533" s="18"/>
      <c r="K533" s="18"/>
      <c r="L533" s="88">
        <f>SUM(F533:K533)</f>
        <v>51198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100260</v>
      </c>
      <c r="G534" s="89">
        <f t="shared" ref="G534:L534" si="38">SUM(G531:G533)</f>
        <v>57069</v>
      </c>
      <c r="H534" s="89">
        <f t="shared" si="38"/>
        <v>2665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159994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48811</v>
      </c>
      <c r="G541" s="18">
        <v>4263</v>
      </c>
      <c r="H541" s="18">
        <v>211931</v>
      </c>
      <c r="I541" s="18"/>
      <c r="J541" s="18"/>
      <c r="K541" s="18"/>
      <c r="L541" s="88">
        <f>SUM(F541:K541)</f>
        <v>265005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>
        <v>13814</v>
      </c>
      <c r="G542" s="18">
        <v>1206</v>
      </c>
      <c r="H542" s="18">
        <v>59980</v>
      </c>
      <c r="I542" s="18"/>
      <c r="J542" s="18"/>
      <c r="K542" s="18"/>
      <c r="L542" s="88">
        <f>SUM(F542:K542)</f>
        <v>75000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29471</v>
      </c>
      <c r="G543" s="18">
        <v>2574</v>
      </c>
      <c r="H543" s="18">
        <v>127958</v>
      </c>
      <c r="I543" s="18"/>
      <c r="J543" s="18"/>
      <c r="K543" s="18"/>
      <c r="L543" s="88">
        <f>SUM(F543:K543)</f>
        <v>160003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92096</v>
      </c>
      <c r="G544" s="193">
        <f t="shared" ref="G544:L544" si="40">SUM(G541:G543)</f>
        <v>8043</v>
      </c>
      <c r="H544" s="193">
        <f t="shared" si="40"/>
        <v>399869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500008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3319672</v>
      </c>
      <c r="G545" s="89">
        <f t="shared" ref="G545:L545" si="41">G524+G529+G534+G539+G544</f>
        <v>891017</v>
      </c>
      <c r="H545" s="89">
        <f t="shared" si="41"/>
        <v>2115040</v>
      </c>
      <c r="I545" s="89">
        <f t="shared" si="41"/>
        <v>47049</v>
      </c>
      <c r="J545" s="89">
        <f t="shared" si="41"/>
        <v>24157</v>
      </c>
      <c r="K545" s="89">
        <f t="shared" si="41"/>
        <v>0</v>
      </c>
      <c r="L545" s="89">
        <f t="shared" si="41"/>
        <v>6396935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2613173</v>
      </c>
      <c r="G549" s="87">
        <f>L526</f>
        <v>427400</v>
      </c>
      <c r="H549" s="87">
        <f>L531</f>
        <v>84797</v>
      </c>
      <c r="I549" s="87">
        <f>L536</f>
        <v>0</v>
      </c>
      <c r="J549" s="87">
        <f>L541</f>
        <v>265005</v>
      </c>
      <c r="K549" s="87">
        <f>SUM(F549:J549)</f>
        <v>3390375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739578</v>
      </c>
      <c r="G550" s="87">
        <f>L527</f>
        <v>120963</v>
      </c>
      <c r="H550" s="87">
        <f>L532</f>
        <v>23999</v>
      </c>
      <c r="I550" s="87">
        <f>L537</f>
        <v>0</v>
      </c>
      <c r="J550" s="87">
        <f>L542</f>
        <v>75000</v>
      </c>
      <c r="K550" s="87">
        <f>SUM(F550:J550)</f>
        <v>959540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1577766</v>
      </c>
      <c r="G551" s="87">
        <f>L528</f>
        <v>258053</v>
      </c>
      <c r="H551" s="87">
        <f>L533</f>
        <v>51198</v>
      </c>
      <c r="I551" s="87">
        <f>L538</f>
        <v>0</v>
      </c>
      <c r="J551" s="87">
        <f>L543</f>
        <v>160003</v>
      </c>
      <c r="K551" s="87">
        <f>SUM(F551:J551)</f>
        <v>2047020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4930517</v>
      </c>
      <c r="G552" s="89">
        <f t="shared" si="42"/>
        <v>806416</v>
      </c>
      <c r="H552" s="89">
        <f t="shared" si="42"/>
        <v>159994</v>
      </c>
      <c r="I552" s="89">
        <f t="shared" si="42"/>
        <v>0</v>
      </c>
      <c r="J552" s="89">
        <f t="shared" si="42"/>
        <v>500008</v>
      </c>
      <c r="K552" s="89">
        <f t="shared" si="42"/>
        <v>6396935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28461</v>
      </c>
      <c r="G562" s="18">
        <v>16038</v>
      </c>
      <c r="H562" s="18"/>
      <c r="I562" s="18"/>
      <c r="J562" s="18"/>
      <c r="K562" s="18"/>
      <c r="L562" s="88">
        <f>SUM(F562:K562)</f>
        <v>44499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8055</v>
      </c>
      <c r="G563" s="18">
        <v>4539</v>
      </c>
      <c r="H563" s="18"/>
      <c r="I563" s="18"/>
      <c r="J563" s="18"/>
      <c r="K563" s="18"/>
      <c r="L563" s="88">
        <f>SUM(F563:K563)</f>
        <v>12594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17184</v>
      </c>
      <c r="G564" s="18">
        <v>9683</v>
      </c>
      <c r="H564" s="18"/>
      <c r="I564" s="18"/>
      <c r="J564" s="18"/>
      <c r="K564" s="18"/>
      <c r="L564" s="88">
        <f>SUM(F564:K564)</f>
        <v>26867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53700</v>
      </c>
      <c r="G565" s="89">
        <f t="shared" si="44"/>
        <v>30260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83960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53700</v>
      </c>
      <c r="G571" s="89">
        <f t="shared" ref="G571:L571" si="46">G560+G565+G570</f>
        <v>30260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83960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23166</v>
      </c>
      <c r="G579" s="18">
        <v>6556</v>
      </c>
      <c r="H579" s="18">
        <v>13987</v>
      </c>
      <c r="I579" s="87">
        <f t="shared" si="47"/>
        <v>43709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539338</v>
      </c>
      <c r="G582" s="18">
        <v>152643</v>
      </c>
      <c r="H582" s="18">
        <v>325638</v>
      </c>
      <c r="I582" s="87">
        <f t="shared" si="47"/>
        <v>1017619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64250</v>
      </c>
      <c r="I584" s="87">
        <f t="shared" si="47"/>
        <v>64250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607013</v>
      </c>
      <c r="I591" s="18">
        <f>171796+16996</f>
        <v>188792</v>
      </c>
      <c r="J591" s="18">
        <f>36117+366498</f>
        <v>402615</v>
      </c>
      <c r="K591" s="104">
        <f t="shared" ref="K591:K597" si="48">SUM(H591:J591)</f>
        <v>1198420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265004</v>
      </c>
      <c r="I592" s="18">
        <v>75001</v>
      </c>
      <c r="J592" s="18">
        <v>160003</v>
      </c>
      <c r="K592" s="104">
        <f t="shared" si="48"/>
        <v>500008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18733</v>
      </c>
      <c r="K593" s="104">
        <f t="shared" si="48"/>
        <v>18733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17444</v>
      </c>
      <c r="J594" s="18">
        <v>37070</v>
      </c>
      <c r="K594" s="104">
        <f t="shared" si="48"/>
        <v>54514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1958</v>
      </c>
      <c r="I595" s="18"/>
      <c r="J595" s="18"/>
      <c r="K595" s="104">
        <f t="shared" si="48"/>
        <v>1958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873975</v>
      </c>
      <c r="I598" s="108">
        <f>SUM(I591:I597)</f>
        <v>281237</v>
      </c>
      <c r="J598" s="108">
        <f>SUM(J591:J597)</f>
        <v>618421</v>
      </c>
      <c r="K598" s="108">
        <f>SUM(K591:K597)</f>
        <v>1773633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459687+6974</f>
        <v>466661</v>
      </c>
      <c r="I604" s="18">
        <f>69335+1973</f>
        <v>71308</v>
      </c>
      <c r="J604" s="18">
        <f>147659+4211</f>
        <v>151870</v>
      </c>
      <c r="K604" s="104">
        <f>SUM(H604:J604)</f>
        <v>689839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466661</v>
      </c>
      <c r="I605" s="108">
        <f>SUM(I602:I604)</f>
        <v>71308</v>
      </c>
      <c r="J605" s="108">
        <f>SUM(J602:J604)</f>
        <v>151870</v>
      </c>
      <c r="K605" s="108">
        <f>SUM(K602:K604)</f>
        <v>689839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12132</v>
      </c>
      <c r="G611" s="18">
        <v>8040</v>
      </c>
      <c r="H611" s="18">
        <v>5107</v>
      </c>
      <c r="I611" s="18"/>
      <c r="J611" s="18"/>
      <c r="K611" s="18"/>
      <c r="L611" s="88">
        <f>SUM(F611:K611)</f>
        <v>25279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3434</v>
      </c>
      <c r="G612" s="18">
        <v>2275</v>
      </c>
      <c r="H612" s="18">
        <v>1445</v>
      </c>
      <c r="I612" s="18"/>
      <c r="J612" s="18"/>
      <c r="K612" s="18"/>
      <c r="L612" s="88">
        <f>SUM(F612:K612)</f>
        <v>7154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7325</v>
      </c>
      <c r="G613" s="18">
        <v>4854</v>
      </c>
      <c r="H613" s="18">
        <v>3083</v>
      </c>
      <c r="I613" s="18"/>
      <c r="J613" s="18"/>
      <c r="K613" s="18"/>
      <c r="L613" s="88">
        <f>SUM(F613:K613)</f>
        <v>15262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22891</v>
      </c>
      <c r="G614" s="108">
        <f t="shared" si="49"/>
        <v>15169</v>
      </c>
      <c r="H614" s="108">
        <f t="shared" si="49"/>
        <v>9635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47695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3397821</v>
      </c>
      <c r="H617" s="109">
        <f>SUM(F52)</f>
        <v>3397821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169416</v>
      </c>
      <c r="H618" s="109">
        <f>SUM(G52)</f>
        <v>169416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1070599</v>
      </c>
      <c r="H619" s="109">
        <f>SUM(H52)</f>
        <v>1070599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83438</v>
      </c>
      <c r="H620" s="109">
        <f>SUM(I52)</f>
        <v>83438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554280</v>
      </c>
      <c r="H621" s="109">
        <f>SUM(J52)</f>
        <v>554280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2868538</v>
      </c>
      <c r="H622" s="109">
        <f>F476</f>
        <v>2868538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126059</v>
      </c>
      <c r="H623" s="109">
        <f>G476</f>
        <v>126059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60865</v>
      </c>
      <c r="H624" s="109">
        <f>H476</f>
        <v>60865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83438</v>
      </c>
      <c r="H625" s="109">
        <f>I476</f>
        <v>83438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554280</v>
      </c>
      <c r="H626" s="109">
        <f>J476</f>
        <v>554280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31138420</v>
      </c>
      <c r="H627" s="104">
        <f>SUM(F468)</f>
        <v>31138420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876153</v>
      </c>
      <c r="H628" s="104">
        <f>SUM(G468)</f>
        <v>876153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1861916</v>
      </c>
      <c r="H629" s="104">
        <f>SUM(H468)</f>
        <v>1861916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1514000</v>
      </c>
      <c r="H630" s="104">
        <f>SUM(I468)</f>
        <v>1514000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200860</v>
      </c>
      <c r="H631" s="104">
        <f>SUM(J468)</f>
        <v>200860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30406718</v>
      </c>
      <c r="H632" s="104">
        <f>SUM(F472)</f>
        <v>30406718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1631474</v>
      </c>
      <c r="H633" s="104">
        <f>SUM(H472)</f>
        <v>1631474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392460</v>
      </c>
      <c r="H634" s="104">
        <f>I369</f>
        <v>392460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904710</v>
      </c>
      <c r="H635" s="104">
        <f>SUM(G472)</f>
        <v>904710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1343421</v>
      </c>
      <c r="H636" s="104">
        <f>SUM(I472)</f>
        <v>1343421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200860</v>
      </c>
      <c r="H637" s="164">
        <f>SUM(J468)</f>
        <v>200860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129585</v>
      </c>
      <c r="H638" s="164">
        <f>SUM(J472)</f>
        <v>129585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4485</v>
      </c>
      <c r="H639" s="104">
        <f>SUM(F461)</f>
        <v>4485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549795</v>
      </c>
      <c r="H640" s="104">
        <f>SUM(G461)</f>
        <v>549795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554280</v>
      </c>
      <c r="H642" s="104">
        <f>SUM(I461)</f>
        <v>554280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860</v>
      </c>
      <c r="H644" s="104">
        <f>H408</f>
        <v>860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200000</v>
      </c>
      <c r="H645" s="104">
        <f>G408</f>
        <v>200000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200860</v>
      </c>
      <c r="H646" s="104">
        <f>L408</f>
        <v>200860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1773633</v>
      </c>
      <c r="H647" s="104">
        <f>L208+L226+L244</f>
        <v>1773633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689839</v>
      </c>
      <c r="H648" s="104">
        <f>(J257+J338)-(J255+J336)</f>
        <v>689839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873975</v>
      </c>
      <c r="H649" s="104">
        <f>H598</f>
        <v>873975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281237</v>
      </c>
      <c r="H650" s="104">
        <f>I598</f>
        <v>281237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618421</v>
      </c>
      <c r="H651" s="104">
        <f>J598</f>
        <v>618421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1514000</v>
      </c>
      <c r="H654" s="104">
        <f>K265+K346</f>
        <v>1514000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200000</v>
      </c>
      <c r="H655" s="104">
        <f>K266+K347</f>
        <v>200000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16296057</v>
      </c>
      <c r="G660" s="19">
        <f>(L229+L309+L359)</f>
        <v>4733557</v>
      </c>
      <c r="H660" s="19">
        <f>(L247+L328+L360)</f>
        <v>10160688</v>
      </c>
      <c r="I660" s="19">
        <f>SUM(F660:H660)</f>
        <v>31190302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217666.01776259797</v>
      </c>
      <c r="G661" s="19">
        <f>(L359/IF(SUM(L358:L360)=0,1,SUM(L358:L360))*(SUM(G97:G110)))</f>
        <v>61602.819080147223</v>
      </c>
      <c r="H661" s="19">
        <f>(L360/IF(SUM(L358:L360)=0,1,SUM(L358:L360))*(SUM(G97:G110)))</f>
        <v>131421.16315725481</v>
      </c>
      <c r="I661" s="19">
        <f>SUM(F661:H661)</f>
        <v>410690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891325</v>
      </c>
      <c r="G662" s="19">
        <f>(L226+L306)-(J226+J306)</f>
        <v>286147</v>
      </c>
      <c r="H662" s="19">
        <f>(L244+L325)-(J244+J325)</f>
        <v>628897</v>
      </c>
      <c r="I662" s="19">
        <f>SUM(F662:H662)</f>
        <v>1806369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1054444</v>
      </c>
      <c r="G663" s="199">
        <f>SUM(G575:G587)+SUM(I602:I604)+L612</f>
        <v>237661</v>
      </c>
      <c r="H663" s="199">
        <f>SUM(H575:H587)+SUM(J602:J604)+L613</f>
        <v>571007</v>
      </c>
      <c r="I663" s="19">
        <f>SUM(F663:H663)</f>
        <v>1863112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14132621.982237402</v>
      </c>
      <c r="G664" s="19">
        <f>G660-SUM(G661:G663)</f>
        <v>4148146.180919853</v>
      </c>
      <c r="H664" s="19">
        <f>H660-SUM(H661:H663)</f>
        <v>8829362.8368427455</v>
      </c>
      <c r="I664" s="19">
        <f>I660-SUM(I661:I663)</f>
        <v>27110131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877.24</v>
      </c>
      <c r="G665" s="248">
        <v>254.48</v>
      </c>
      <c r="H665" s="248">
        <v>537.6</v>
      </c>
      <c r="I665" s="19">
        <f>SUM(F665:H665)</f>
        <v>1669.3200000000002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16110.33</v>
      </c>
      <c r="G667" s="19">
        <f>ROUND(G664/G665,2)</f>
        <v>16300.48</v>
      </c>
      <c r="H667" s="19">
        <f>ROUND(H664/H665,2)</f>
        <v>16423.669999999998</v>
      </c>
      <c r="I667" s="19">
        <f>ROUND(I664/I665,2)</f>
        <v>16240.22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-16.73</v>
      </c>
      <c r="I670" s="19">
        <f>SUM(F670:H670)</f>
        <v>-16.73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16110.33</v>
      </c>
      <c r="G672" s="19">
        <f>ROUND((G664+G669)/(G665+G670),2)</f>
        <v>16300.48</v>
      </c>
      <c r="H672" s="19">
        <f>ROUND((H664+H669)/(H665+H670),2)</f>
        <v>16951.18</v>
      </c>
      <c r="I672" s="19">
        <f>ROUND((I664+I669)/(I665+I670),2)</f>
        <v>16404.63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21" sqref="C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Monadnock Regional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9" t="s">
        <v>784</v>
      </c>
      <c r="B3" s="279"/>
      <c r="C3" s="279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8" t="s">
        <v>783</v>
      </c>
      <c r="C6" s="278"/>
    </row>
    <row r="7" spans="1:3" x14ac:dyDescent="0.2">
      <c r="A7" s="239" t="s">
        <v>786</v>
      </c>
      <c r="B7" s="276" t="s">
        <v>782</v>
      </c>
      <c r="C7" s="277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6793009</v>
      </c>
      <c r="C9" s="229">
        <f>'DOE25'!G197+'DOE25'!G215+'DOE25'!G233+'DOE25'!G276+'DOE25'!G295+'DOE25'!G314</f>
        <v>3438912</v>
      </c>
    </row>
    <row r="10" spans="1:3" x14ac:dyDescent="0.2">
      <c r="A10" t="s">
        <v>779</v>
      </c>
      <c r="B10" s="240">
        <v>6585271</v>
      </c>
      <c r="C10" s="240">
        <v>3369144</v>
      </c>
    </row>
    <row r="11" spans="1:3" x14ac:dyDescent="0.2">
      <c r="A11" t="s">
        <v>780</v>
      </c>
      <c r="B11" s="240">
        <v>57332</v>
      </c>
      <c r="C11" s="240">
        <v>56342</v>
      </c>
    </row>
    <row r="12" spans="1:3" x14ac:dyDescent="0.2">
      <c r="A12" t="s">
        <v>781</v>
      </c>
      <c r="B12" s="240">
        <v>150406</v>
      </c>
      <c r="C12" s="240">
        <v>13426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6793009</v>
      </c>
      <c r="C13" s="231">
        <f>SUM(C10:C12)</f>
        <v>3438912</v>
      </c>
    </row>
    <row r="14" spans="1:3" x14ac:dyDescent="0.2">
      <c r="B14" s="230"/>
      <c r="C14" s="230"/>
    </row>
    <row r="15" spans="1:3" x14ac:dyDescent="0.2">
      <c r="B15" s="278" t="s">
        <v>783</v>
      </c>
      <c r="C15" s="278"/>
    </row>
    <row r="16" spans="1:3" x14ac:dyDescent="0.2">
      <c r="A16" s="239" t="s">
        <v>787</v>
      </c>
      <c r="B16" s="276" t="s">
        <v>707</v>
      </c>
      <c r="C16" s="277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2894130</v>
      </c>
      <c r="C18" s="229">
        <f>'DOE25'!G198+'DOE25'!G216+'DOE25'!G234+'DOE25'!G277+'DOE25'!G296+'DOE25'!G315</f>
        <v>2309719</v>
      </c>
    </row>
    <row r="19" spans="1:3" x14ac:dyDescent="0.2">
      <c r="A19" t="s">
        <v>779</v>
      </c>
      <c r="B19" s="240">
        <v>1487167</v>
      </c>
      <c r="C19" s="240">
        <v>788199</v>
      </c>
    </row>
    <row r="20" spans="1:3" x14ac:dyDescent="0.2">
      <c r="A20" t="s">
        <v>780</v>
      </c>
      <c r="B20" s="240">
        <v>1307829</v>
      </c>
      <c r="C20" s="240">
        <v>1467851</v>
      </c>
    </row>
    <row r="21" spans="1:3" x14ac:dyDescent="0.2">
      <c r="A21" t="s">
        <v>781</v>
      </c>
      <c r="B21" s="240">
        <v>99134</v>
      </c>
      <c r="C21" s="240">
        <v>53669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2894130</v>
      </c>
      <c r="C22" s="231">
        <f>SUM(C19:C21)</f>
        <v>2309719</v>
      </c>
    </row>
    <row r="23" spans="1:3" x14ac:dyDescent="0.2">
      <c r="B23" s="230"/>
      <c r="C23" s="230"/>
    </row>
    <row r="24" spans="1:3" x14ac:dyDescent="0.2">
      <c r="B24" s="278" t="s">
        <v>783</v>
      </c>
      <c r="C24" s="278"/>
    </row>
    <row r="25" spans="1:3" x14ac:dyDescent="0.2">
      <c r="A25" s="239" t="s">
        <v>788</v>
      </c>
      <c r="B25" s="276" t="s">
        <v>708</v>
      </c>
      <c r="C25" s="277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8" t="s">
        <v>783</v>
      </c>
      <c r="C33" s="278"/>
    </row>
    <row r="34" spans="1:3" x14ac:dyDescent="0.2">
      <c r="A34" s="239" t="s">
        <v>789</v>
      </c>
      <c r="B34" s="276" t="s">
        <v>709</v>
      </c>
      <c r="C34" s="277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440108</v>
      </c>
      <c r="C36" s="235">
        <f>'DOE25'!G200+'DOE25'!G218+'DOE25'!G236+'DOE25'!G279+'DOE25'!G298+'DOE25'!G317</f>
        <v>78410</v>
      </c>
    </row>
    <row r="37" spans="1:3" x14ac:dyDescent="0.2">
      <c r="A37" t="s">
        <v>779</v>
      </c>
      <c r="B37" s="240">
        <v>91262</v>
      </c>
      <c r="C37" s="240">
        <v>42957</v>
      </c>
    </row>
    <row r="38" spans="1:3" x14ac:dyDescent="0.2">
      <c r="A38" t="s">
        <v>780</v>
      </c>
      <c r="B38" s="240">
        <v>179188</v>
      </c>
      <c r="C38" s="240">
        <v>18430</v>
      </c>
    </row>
    <row r="39" spans="1:3" x14ac:dyDescent="0.2">
      <c r="A39" t="s">
        <v>781</v>
      </c>
      <c r="B39" s="240">
        <v>169658</v>
      </c>
      <c r="C39" s="240">
        <v>17023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440108</v>
      </c>
      <c r="C40" s="231">
        <f>SUM(C37:C39)</f>
        <v>78410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8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8" t="s">
        <v>790</v>
      </c>
      <c r="B1" s="283"/>
      <c r="C1" s="283"/>
      <c r="D1" s="283"/>
      <c r="E1" s="283"/>
      <c r="F1" s="283"/>
      <c r="G1" s="283"/>
      <c r="H1" s="283"/>
      <c r="I1" s="181"/>
    </row>
    <row r="2" spans="1:9" x14ac:dyDescent="0.2">
      <c r="A2" s="33" t="s">
        <v>717</v>
      </c>
      <c r="B2" s="265" t="str">
        <f>'DOE25'!A2</f>
        <v>Monadnock Regional School District</v>
      </c>
      <c r="C2" s="181"/>
      <c r="D2" s="181" t="s">
        <v>792</v>
      </c>
      <c r="E2" s="181" t="s">
        <v>794</v>
      </c>
      <c r="F2" s="280" t="s">
        <v>821</v>
      </c>
      <c r="G2" s="281"/>
      <c r="H2" s="282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17905600</v>
      </c>
      <c r="D5" s="20">
        <f>SUM('DOE25'!L197:L200)+SUM('DOE25'!L215:L218)+SUM('DOE25'!L233:L236)-F5-G5</f>
        <v>17506667</v>
      </c>
      <c r="E5" s="243"/>
      <c r="F5" s="255">
        <f>SUM('DOE25'!J197:J200)+SUM('DOE25'!J215:J218)+SUM('DOE25'!J233:J236)</f>
        <v>360547</v>
      </c>
      <c r="G5" s="53">
        <f>SUM('DOE25'!K197:K200)+SUM('DOE25'!K215:K218)+SUM('DOE25'!K233:K236)</f>
        <v>38386</v>
      </c>
      <c r="H5" s="259"/>
    </row>
    <row r="6" spans="1:9" x14ac:dyDescent="0.2">
      <c r="A6" s="32">
        <v>2100</v>
      </c>
      <c r="B6" t="s">
        <v>801</v>
      </c>
      <c r="C6" s="245">
        <f t="shared" si="0"/>
        <v>1640942</v>
      </c>
      <c r="D6" s="20">
        <f>'DOE25'!L202+'DOE25'!L220+'DOE25'!L238-F6-G6</f>
        <v>1631418</v>
      </c>
      <c r="E6" s="243"/>
      <c r="F6" s="255">
        <f>'DOE25'!J202+'DOE25'!J220+'DOE25'!J238</f>
        <v>409</v>
      </c>
      <c r="G6" s="53">
        <f>'DOE25'!K202+'DOE25'!K220+'DOE25'!K238</f>
        <v>9115</v>
      </c>
      <c r="H6" s="259"/>
    </row>
    <row r="7" spans="1:9" x14ac:dyDescent="0.2">
      <c r="A7" s="32">
        <v>2200</v>
      </c>
      <c r="B7" t="s">
        <v>834</v>
      </c>
      <c r="C7" s="245">
        <f t="shared" si="0"/>
        <v>660151</v>
      </c>
      <c r="D7" s="20">
        <f>'DOE25'!L203+'DOE25'!L221+'DOE25'!L239-F7-G7</f>
        <v>629223</v>
      </c>
      <c r="E7" s="243"/>
      <c r="F7" s="255">
        <f>'DOE25'!J203+'DOE25'!J221+'DOE25'!J239</f>
        <v>29113</v>
      </c>
      <c r="G7" s="53">
        <f>'DOE25'!K203+'DOE25'!K221+'DOE25'!K239</f>
        <v>1815</v>
      </c>
      <c r="H7" s="259"/>
    </row>
    <row r="8" spans="1:9" x14ac:dyDescent="0.2">
      <c r="A8" s="32">
        <v>2300</v>
      </c>
      <c r="B8" t="s">
        <v>802</v>
      </c>
      <c r="C8" s="245">
        <f t="shared" si="0"/>
        <v>-63113</v>
      </c>
      <c r="D8" s="243"/>
      <c r="E8" s="20">
        <f>'DOE25'!L204+'DOE25'!L222+'DOE25'!L240-F8-G8-D9-D11</f>
        <v>-92338</v>
      </c>
      <c r="F8" s="255">
        <f>'DOE25'!J204+'DOE25'!J222+'DOE25'!J240</f>
        <v>8626</v>
      </c>
      <c r="G8" s="53">
        <f>'DOE25'!K204+'DOE25'!K222+'DOE25'!K240</f>
        <v>20599</v>
      </c>
      <c r="H8" s="259"/>
    </row>
    <row r="9" spans="1:9" x14ac:dyDescent="0.2">
      <c r="A9" s="32">
        <v>2310</v>
      </c>
      <c r="B9" t="s">
        <v>818</v>
      </c>
      <c r="C9" s="245">
        <f t="shared" si="0"/>
        <v>251566</v>
      </c>
      <c r="D9" s="244">
        <v>251566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16063</v>
      </c>
      <c r="D10" s="243"/>
      <c r="E10" s="244">
        <v>16063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409023</v>
      </c>
      <c r="D11" s="244">
        <v>409023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1501022</v>
      </c>
      <c r="D12" s="20">
        <f>'DOE25'!L205+'DOE25'!L223+'DOE25'!L241-F12-G12</f>
        <v>1481830</v>
      </c>
      <c r="E12" s="243"/>
      <c r="F12" s="255">
        <f>'DOE25'!J205+'DOE25'!J223+'DOE25'!J241</f>
        <v>9922</v>
      </c>
      <c r="G12" s="53">
        <f>'DOE25'!K205+'DOE25'!K223+'DOE25'!K241</f>
        <v>9270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831534</v>
      </c>
      <c r="D13" s="243"/>
      <c r="E13" s="20">
        <f>'DOE25'!L206+'DOE25'!L224+'DOE25'!L242-F13-G13</f>
        <v>821035</v>
      </c>
      <c r="F13" s="255">
        <f>'DOE25'!J206+'DOE25'!J224+'DOE25'!J242</f>
        <v>10499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2557721</v>
      </c>
      <c r="D14" s="20">
        <f>'DOE25'!L207+'DOE25'!L225+'DOE25'!L243-F14-G14</f>
        <v>2461597</v>
      </c>
      <c r="E14" s="243"/>
      <c r="F14" s="255">
        <f>'DOE25'!J207+'DOE25'!J225+'DOE25'!J243</f>
        <v>95995</v>
      </c>
      <c r="G14" s="53">
        <f>'DOE25'!K207+'DOE25'!K225+'DOE25'!K243</f>
        <v>129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1773633</v>
      </c>
      <c r="D15" s="20">
        <f>'DOE25'!L208+'DOE25'!L226+'DOE25'!L244-F15-G15</f>
        <v>1773633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1186039</v>
      </c>
      <c r="D16" s="243"/>
      <c r="E16" s="20">
        <f>'DOE25'!L209+'DOE25'!L227+'DOE25'!L245-F16-G16</f>
        <v>1024469</v>
      </c>
      <c r="F16" s="255">
        <f>'DOE25'!J209+'DOE25'!J227+'DOE25'!J245</f>
        <v>161570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38600</v>
      </c>
      <c r="D22" s="243"/>
      <c r="E22" s="243"/>
      <c r="F22" s="255">
        <f>'DOE25'!L255+'DOE25'!L336</f>
        <v>38600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544777</v>
      </c>
      <c r="D29" s="20">
        <f>'DOE25'!L358+'DOE25'!L359+'DOE25'!L360-'DOE25'!I367-F29-G29</f>
        <v>543915</v>
      </c>
      <c r="E29" s="243"/>
      <c r="F29" s="255">
        <f>'DOE25'!J358+'DOE25'!J359+'DOE25'!J360</f>
        <v>300</v>
      </c>
      <c r="G29" s="53">
        <f>'DOE25'!K358+'DOE25'!K359+'DOE25'!K360</f>
        <v>562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1631474</v>
      </c>
      <c r="D31" s="20">
        <f>'DOE25'!L290+'DOE25'!L309+'DOE25'!L328+'DOE25'!L333+'DOE25'!L334+'DOE25'!L335-F31-G31</f>
        <v>1616369</v>
      </c>
      <c r="E31" s="243"/>
      <c r="F31" s="255">
        <f>'DOE25'!J290+'DOE25'!J309+'DOE25'!J328+'DOE25'!J333+'DOE25'!J334+'DOE25'!J335</f>
        <v>13158</v>
      </c>
      <c r="G31" s="53">
        <f>'DOE25'!K290+'DOE25'!K309+'DOE25'!K328+'DOE25'!K333+'DOE25'!K334+'DOE25'!K335</f>
        <v>1947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28305241</v>
      </c>
      <c r="E33" s="246">
        <f>SUM(E5:E31)</f>
        <v>1769229</v>
      </c>
      <c r="F33" s="246">
        <f>SUM(F5:F31)</f>
        <v>728739</v>
      </c>
      <c r="G33" s="246">
        <f>SUM(G5:G31)</f>
        <v>81823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1769229</v>
      </c>
      <c r="E35" s="249"/>
    </row>
    <row r="36" spans="2:8" ht="12" thickTop="1" x14ac:dyDescent="0.2">
      <c r="B36" t="s">
        <v>815</v>
      </c>
      <c r="D36" s="20">
        <f>D33</f>
        <v>28305241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Monadnock Regional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2253589</v>
      </c>
      <c r="D8" s="95">
        <f>'DOE25'!G9</f>
        <v>40624</v>
      </c>
      <c r="E8" s="95">
        <f>'DOE25'!H9</f>
        <v>101195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685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349872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771889</v>
      </c>
      <c r="D11" s="95">
        <f>'DOE25'!G12</f>
        <v>128792</v>
      </c>
      <c r="E11" s="95">
        <f>'DOE25'!H12</f>
        <v>0</v>
      </c>
      <c r="F11" s="95">
        <f>'DOE25'!I12</f>
        <v>83438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18077</v>
      </c>
      <c r="D12" s="95">
        <f>'DOE25'!G13</f>
        <v>0</v>
      </c>
      <c r="E12" s="95">
        <f>'DOE25'!H13</f>
        <v>875263</v>
      </c>
      <c r="F12" s="95">
        <f>'DOE25'!I13</f>
        <v>0</v>
      </c>
      <c r="G12" s="95">
        <f>'DOE25'!J13</f>
        <v>554280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3709</v>
      </c>
      <c r="D13" s="95">
        <f>'DOE25'!G14</f>
        <v>0</v>
      </c>
      <c r="E13" s="95">
        <f>'DOE25'!H14</f>
        <v>94141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3397821</v>
      </c>
      <c r="D18" s="41">
        <f>SUM(D8:D17)</f>
        <v>169416</v>
      </c>
      <c r="E18" s="41">
        <f>SUM(E8:E17)</f>
        <v>1070599</v>
      </c>
      <c r="F18" s="41">
        <f>SUM(F8:F17)</f>
        <v>83438</v>
      </c>
      <c r="G18" s="41">
        <f>SUM(G8:G17)</f>
        <v>554280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1626</v>
      </c>
      <c r="E21" s="95">
        <f>'DOE25'!H22</f>
        <v>994969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157443</v>
      </c>
      <c r="D23" s="95">
        <f>'DOE25'!G24</f>
        <v>41731</v>
      </c>
      <c r="E23" s="95">
        <f>'DOE25'!H24</f>
        <v>14765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371840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529283</v>
      </c>
      <c r="D31" s="41">
        <f>SUM(D21:D30)</f>
        <v>43357</v>
      </c>
      <c r="E31" s="41">
        <f>SUM(E21:E30)</f>
        <v>1009734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724260</v>
      </c>
      <c r="D42" s="95">
        <f>'DOE25'!G43</f>
        <v>126059</v>
      </c>
      <c r="E42" s="95">
        <f>'DOE25'!H43</f>
        <v>60865</v>
      </c>
      <c r="F42" s="95">
        <f>'DOE25'!I43</f>
        <v>0</v>
      </c>
      <c r="G42" s="95">
        <f>'DOE25'!J43</f>
        <v>4485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83438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549795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2139278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2868538</v>
      </c>
      <c r="D50" s="41">
        <f>SUM(D34:D49)</f>
        <v>126059</v>
      </c>
      <c r="E50" s="41">
        <f>SUM(E34:E49)</f>
        <v>60865</v>
      </c>
      <c r="F50" s="41">
        <f>SUM(F34:F49)</f>
        <v>83438</v>
      </c>
      <c r="G50" s="41">
        <f>SUM(G34:G49)</f>
        <v>554280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3397821</v>
      </c>
      <c r="D51" s="41">
        <f>D50+D31</f>
        <v>169416</v>
      </c>
      <c r="E51" s="41">
        <f>E50+E31</f>
        <v>1070599</v>
      </c>
      <c r="F51" s="41">
        <f>F50+F31</f>
        <v>83438</v>
      </c>
      <c r="G51" s="41">
        <f>G50+G31</f>
        <v>554280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16631539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263828</v>
      </c>
      <c r="D57" s="24" t="s">
        <v>289</v>
      </c>
      <c r="E57" s="95">
        <f>'DOE25'!H79</f>
        <v>173412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860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410690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744156</v>
      </c>
      <c r="D61" s="95">
        <f>SUM('DOE25'!G98:G110)</f>
        <v>0</v>
      </c>
      <c r="E61" s="95">
        <f>SUM('DOE25'!H98:H110)</f>
        <v>362525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1007984</v>
      </c>
      <c r="D62" s="130">
        <f>SUM(D57:D61)</f>
        <v>410690</v>
      </c>
      <c r="E62" s="130">
        <f>SUM(E57:E61)</f>
        <v>535937</v>
      </c>
      <c r="F62" s="130">
        <f>SUM(F57:F61)</f>
        <v>0</v>
      </c>
      <c r="G62" s="130">
        <f>SUM(G57:G61)</f>
        <v>860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17639523</v>
      </c>
      <c r="D63" s="22">
        <f>D56+D62</f>
        <v>410690</v>
      </c>
      <c r="E63" s="22">
        <f>E56+E62</f>
        <v>535937</v>
      </c>
      <c r="F63" s="22">
        <f>F56+F62</f>
        <v>0</v>
      </c>
      <c r="G63" s="22">
        <f>G56+G62</f>
        <v>860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9643060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2549267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12192327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630701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265646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9393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12456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905740</v>
      </c>
      <c r="D78" s="130">
        <f>SUM(D72:D77)</f>
        <v>12456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13098067</v>
      </c>
      <c r="D81" s="130">
        <f>SUM(D79:D80)+D78+D70</f>
        <v>12456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400830</v>
      </c>
      <c r="D88" s="95">
        <f>SUM('DOE25'!G153:G161)</f>
        <v>453007</v>
      </c>
      <c r="E88" s="95">
        <f>SUM('DOE25'!H153:H161)</f>
        <v>1325979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400830</v>
      </c>
      <c r="D91" s="131">
        <f>SUM(D85:D90)</f>
        <v>453007</v>
      </c>
      <c r="E91" s="131">
        <f>SUM(E85:E90)</f>
        <v>1325979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1514000</v>
      </c>
      <c r="G96" s="95">
        <f>'DOE25'!J179</f>
        <v>200000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1514000</v>
      </c>
      <c r="G103" s="86">
        <f>SUM(G93:G102)</f>
        <v>200000</v>
      </c>
    </row>
    <row r="104" spans="1:7" ht="12.75" thickTop="1" thickBot="1" x14ac:dyDescent="0.25">
      <c r="A104" s="33" t="s">
        <v>765</v>
      </c>
      <c r="C104" s="86">
        <f>C63+C81+C91+C103</f>
        <v>31138420</v>
      </c>
      <c r="D104" s="86">
        <f>D63+D81+D91+D103</f>
        <v>876153</v>
      </c>
      <c r="E104" s="86">
        <f>E63+E81+E91+E103</f>
        <v>1861916</v>
      </c>
      <c r="F104" s="86">
        <f>F63+F81+F91+F103</f>
        <v>1514000</v>
      </c>
      <c r="G104" s="86">
        <f>G63+G81+G103</f>
        <v>200860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10618683</v>
      </c>
      <c r="D109" s="24" t="s">
        <v>289</v>
      </c>
      <c r="E109" s="95">
        <f>('DOE25'!L276)+('DOE25'!L295)+('DOE25'!L314)</f>
        <v>47967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6918287</v>
      </c>
      <c r="D110" s="24" t="s">
        <v>289</v>
      </c>
      <c r="E110" s="95">
        <f>('DOE25'!L277)+('DOE25'!L296)+('DOE25'!L315)</f>
        <v>327881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64250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304380</v>
      </c>
      <c r="D112" s="24" t="s">
        <v>289</v>
      </c>
      <c r="E112" s="95">
        <f>+('DOE25'!L279)+('DOE25'!L298)+('DOE25'!L317)</f>
        <v>412661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17905600</v>
      </c>
      <c r="D115" s="86">
        <f>SUM(D109:D114)</f>
        <v>0</v>
      </c>
      <c r="E115" s="86">
        <f>SUM(E109:E114)</f>
        <v>788509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1640942</v>
      </c>
      <c r="D118" s="24" t="s">
        <v>289</v>
      </c>
      <c r="E118" s="95">
        <f>+('DOE25'!L281)+('DOE25'!L300)+('DOE25'!L319)</f>
        <v>66000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660151</v>
      </c>
      <c r="D119" s="24" t="s">
        <v>289</v>
      </c>
      <c r="E119" s="95">
        <f>+('DOE25'!L282)+('DOE25'!L301)+('DOE25'!L320)</f>
        <v>510581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597476</v>
      </c>
      <c r="D120" s="24" t="s">
        <v>289</v>
      </c>
      <c r="E120" s="95">
        <f>+('DOE25'!L283)+('DOE25'!L302)+('DOE25'!L321)</f>
        <v>175540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1501022</v>
      </c>
      <c r="D121" s="24" t="s">
        <v>289</v>
      </c>
      <c r="E121" s="95">
        <f>+('DOE25'!L284)+('DOE25'!L303)+('DOE25'!L322)</f>
        <v>55644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831534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2557721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1773633</v>
      </c>
      <c r="D124" s="24" t="s">
        <v>289</v>
      </c>
      <c r="E124" s="95">
        <f>+('DOE25'!L287)+('DOE25'!L306)+('DOE25'!L325)</f>
        <v>32736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1186039</v>
      </c>
      <c r="D125" s="24" t="s">
        <v>289</v>
      </c>
      <c r="E125" s="95">
        <f>+('DOE25'!L288)+('DOE25'!L307)+('DOE25'!L326)</f>
        <v>2464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904710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10748518</v>
      </c>
      <c r="D128" s="86">
        <f>SUM(D118:D127)</f>
        <v>904710</v>
      </c>
      <c r="E128" s="86">
        <f>SUM(E118:E127)</f>
        <v>842965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38600</v>
      </c>
      <c r="D130" s="24" t="s">
        <v>289</v>
      </c>
      <c r="E130" s="129">
        <f>'DOE25'!L336</f>
        <v>0</v>
      </c>
      <c r="F130" s="129">
        <f>SUM('DOE25'!L374:'DOE25'!L380)</f>
        <v>1343421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129585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1514000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8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200852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-860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1752600</v>
      </c>
      <c r="D144" s="141">
        <f>SUM(D130:D143)</f>
        <v>0</v>
      </c>
      <c r="E144" s="141">
        <f>SUM(E130:E143)</f>
        <v>0</v>
      </c>
      <c r="F144" s="141">
        <f>SUM(F130:F143)</f>
        <v>1343421</v>
      </c>
      <c r="G144" s="141">
        <f>SUM(G130:G143)</f>
        <v>129585</v>
      </c>
    </row>
    <row r="145" spans="1:9" ht="12.75" thickTop="1" thickBot="1" x14ac:dyDescent="0.25">
      <c r="A145" s="33" t="s">
        <v>244</v>
      </c>
      <c r="C145" s="86">
        <f>(C115+C128+C144)</f>
        <v>30406718</v>
      </c>
      <c r="D145" s="86">
        <f>(D115+D128+D144)</f>
        <v>904710</v>
      </c>
      <c r="E145" s="86">
        <f>(E115+E128+E144)</f>
        <v>1631474</v>
      </c>
      <c r="F145" s="86">
        <f>(F115+F128+F144)</f>
        <v>1343421</v>
      </c>
      <c r="G145" s="86">
        <f>(G115+G128+G144)</f>
        <v>129585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4" t="s">
        <v>740</v>
      </c>
      <c r="B1" s="284"/>
      <c r="C1" s="284"/>
      <c r="D1" s="284"/>
    </row>
    <row r="2" spans="1:4" x14ac:dyDescent="0.2">
      <c r="A2" s="187" t="s">
        <v>717</v>
      </c>
      <c r="B2" s="186" t="str">
        <f>'DOE25'!A2</f>
        <v>Monadnock Regional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16110</v>
      </c>
    </row>
    <row r="5" spans="1:4" x14ac:dyDescent="0.2">
      <c r="B5" t="s">
        <v>704</v>
      </c>
      <c r="C5" s="179">
        <f>IF('DOE25'!G665+'DOE25'!G670=0,0,ROUND('DOE25'!G672,0))</f>
        <v>16300</v>
      </c>
    </row>
    <row r="6" spans="1:4" x14ac:dyDescent="0.2">
      <c r="B6" t="s">
        <v>62</v>
      </c>
      <c r="C6" s="179">
        <f>IF('DOE25'!H665+'DOE25'!H670=0,0,ROUND('DOE25'!H672,0))</f>
        <v>16951</v>
      </c>
    </row>
    <row r="7" spans="1:4" x14ac:dyDescent="0.2">
      <c r="B7" t="s">
        <v>705</v>
      </c>
      <c r="C7" s="179">
        <f>IF('DOE25'!I665+'DOE25'!I670=0,0,ROUND('DOE25'!I672,0))</f>
        <v>16405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10666650</v>
      </c>
      <c r="D10" s="182">
        <f>ROUND((C10/$C$28)*100,1)</f>
        <v>34.700000000000003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7246168</v>
      </c>
      <c r="D11" s="182">
        <f>ROUND((C11/$C$28)*100,1)</f>
        <v>23.5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64250</v>
      </c>
      <c r="D12" s="182">
        <f>ROUND((C12/$C$28)*100,1)</f>
        <v>0.2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717041</v>
      </c>
      <c r="D13" s="182">
        <f>ROUND((C13/$C$28)*100,1)</f>
        <v>2.2999999999999998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1706942</v>
      </c>
      <c r="D15" s="182">
        <f t="shared" ref="D15:D27" si="0">ROUND((C15/$C$28)*100,1)</f>
        <v>5.5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1170732</v>
      </c>
      <c r="D16" s="182">
        <f t="shared" si="0"/>
        <v>3.8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1961519</v>
      </c>
      <c r="D17" s="182">
        <f t="shared" si="0"/>
        <v>6.4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1556666</v>
      </c>
      <c r="D18" s="182">
        <f t="shared" si="0"/>
        <v>5.0999999999999996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831534</v>
      </c>
      <c r="D19" s="182">
        <f t="shared" si="0"/>
        <v>2.7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2557721</v>
      </c>
      <c r="D20" s="182">
        <f t="shared" si="0"/>
        <v>8.3000000000000007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1806369</v>
      </c>
      <c r="D21" s="182">
        <f t="shared" si="0"/>
        <v>5.9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494020</v>
      </c>
      <c r="D27" s="182">
        <f t="shared" si="0"/>
        <v>1.6</v>
      </c>
    </row>
    <row r="28" spans="1:4" x14ac:dyDescent="0.2">
      <c r="B28" s="187" t="s">
        <v>723</v>
      </c>
      <c r="C28" s="180">
        <f>SUM(C10:C27)</f>
        <v>30779612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1382021</v>
      </c>
    </row>
    <row r="30" spans="1:4" x14ac:dyDescent="0.2">
      <c r="B30" s="187" t="s">
        <v>729</v>
      </c>
      <c r="C30" s="180">
        <f>SUM(C28:C29)</f>
        <v>32161633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16631539</v>
      </c>
      <c r="D35" s="182">
        <f t="shared" ref="D35:D40" si="1">ROUND((C35/$C$41)*100,1)</f>
        <v>49.7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1544781</v>
      </c>
      <c r="D36" s="182">
        <f t="shared" si="1"/>
        <v>4.5999999999999996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12192327</v>
      </c>
      <c r="D37" s="182">
        <f t="shared" si="1"/>
        <v>36.4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918196</v>
      </c>
      <c r="D38" s="182">
        <f t="shared" si="1"/>
        <v>2.7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2179816</v>
      </c>
      <c r="D39" s="182">
        <f t="shared" si="1"/>
        <v>6.5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33466659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:M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5" t="s">
        <v>770</v>
      </c>
      <c r="B1" s="296"/>
      <c r="C1" s="296"/>
      <c r="D1" s="296"/>
      <c r="E1" s="296"/>
      <c r="F1" s="296"/>
      <c r="G1" s="296"/>
      <c r="H1" s="296"/>
      <c r="I1" s="296"/>
      <c r="J1" s="213"/>
      <c r="K1" s="213"/>
      <c r="L1" s="213"/>
      <c r="M1" s="214"/>
    </row>
    <row r="2" spans="1:26" ht="12.75" x14ac:dyDescent="0.2">
      <c r="A2" s="301" t="s">
        <v>767</v>
      </c>
      <c r="B2" s="302"/>
      <c r="C2" s="302"/>
      <c r="D2" s="302"/>
      <c r="E2" s="302"/>
      <c r="F2" s="299" t="str">
        <f>'DOE25'!A2</f>
        <v>Monadnock Regional School District</v>
      </c>
      <c r="G2" s="300"/>
      <c r="H2" s="300"/>
      <c r="I2" s="300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7" t="s">
        <v>771</v>
      </c>
      <c r="D3" s="297"/>
      <c r="E3" s="297"/>
      <c r="F3" s="297"/>
      <c r="G3" s="297"/>
      <c r="H3" s="297"/>
      <c r="I3" s="297"/>
      <c r="J3" s="297"/>
      <c r="K3" s="297"/>
      <c r="L3" s="297"/>
      <c r="M3" s="298"/>
    </row>
    <row r="4" spans="1:26" x14ac:dyDescent="0.2">
      <c r="A4" s="274">
        <v>3</v>
      </c>
      <c r="B4" s="275">
        <v>23</v>
      </c>
      <c r="C4" s="286" t="s">
        <v>914</v>
      </c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7"/>
      <c r="AB29" s="207"/>
      <c r="AC29" s="291"/>
      <c r="AD29" s="291"/>
      <c r="AE29" s="291"/>
      <c r="AF29" s="291"/>
      <c r="AG29" s="291"/>
      <c r="AH29" s="291"/>
      <c r="AI29" s="291"/>
      <c r="AJ29" s="291"/>
      <c r="AK29" s="291"/>
      <c r="AL29" s="291"/>
      <c r="AM29" s="291"/>
      <c r="AN29" s="207"/>
      <c r="AO29" s="207"/>
      <c r="AP29" s="291"/>
      <c r="AQ29" s="291"/>
      <c r="AR29" s="291"/>
      <c r="AS29" s="291"/>
      <c r="AT29" s="291"/>
      <c r="AU29" s="291"/>
      <c r="AV29" s="291"/>
      <c r="AW29" s="291"/>
      <c r="AX29" s="291"/>
      <c r="AY29" s="291"/>
      <c r="AZ29" s="291"/>
      <c r="BA29" s="207"/>
      <c r="BB29" s="207"/>
      <c r="BC29" s="291"/>
      <c r="BD29" s="291"/>
      <c r="BE29" s="291"/>
      <c r="BF29" s="291"/>
      <c r="BG29" s="291"/>
      <c r="BH29" s="291"/>
      <c r="BI29" s="291"/>
      <c r="BJ29" s="291"/>
      <c r="BK29" s="291"/>
      <c r="BL29" s="291"/>
      <c r="BM29" s="291"/>
      <c r="BN29" s="207"/>
      <c r="BO29" s="207"/>
      <c r="BP29" s="291"/>
      <c r="BQ29" s="291"/>
      <c r="BR29" s="291"/>
      <c r="BS29" s="291"/>
      <c r="BT29" s="291"/>
      <c r="BU29" s="291"/>
      <c r="BV29" s="291"/>
      <c r="BW29" s="291"/>
      <c r="BX29" s="291"/>
      <c r="BY29" s="291"/>
      <c r="BZ29" s="291"/>
      <c r="CA29" s="207"/>
      <c r="CB29" s="207"/>
      <c r="CC29" s="291"/>
      <c r="CD29" s="291"/>
      <c r="CE29" s="291"/>
      <c r="CF29" s="291"/>
      <c r="CG29" s="291"/>
      <c r="CH29" s="291"/>
      <c r="CI29" s="291"/>
      <c r="CJ29" s="291"/>
      <c r="CK29" s="291"/>
      <c r="CL29" s="291"/>
      <c r="CM29" s="291"/>
      <c r="CN29" s="207"/>
      <c r="CO29" s="207"/>
      <c r="CP29" s="291"/>
      <c r="CQ29" s="291"/>
      <c r="CR29" s="291"/>
      <c r="CS29" s="291"/>
      <c r="CT29" s="291"/>
      <c r="CU29" s="291"/>
      <c r="CV29" s="291"/>
      <c r="CW29" s="291"/>
      <c r="CX29" s="291"/>
      <c r="CY29" s="291"/>
      <c r="CZ29" s="291"/>
      <c r="DA29" s="207"/>
      <c r="DB29" s="207"/>
      <c r="DC29" s="291"/>
      <c r="DD29" s="291"/>
      <c r="DE29" s="291"/>
      <c r="DF29" s="291"/>
      <c r="DG29" s="291"/>
      <c r="DH29" s="291"/>
      <c r="DI29" s="291"/>
      <c r="DJ29" s="291"/>
      <c r="DK29" s="291"/>
      <c r="DL29" s="291"/>
      <c r="DM29" s="291"/>
      <c r="DN29" s="207"/>
      <c r="DO29" s="207"/>
      <c r="DP29" s="291"/>
      <c r="DQ29" s="291"/>
      <c r="DR29" s="291"/>
      <c r="DS29" s="291"/>
      <c r="DT29" s="291"/>
      <c r="DU29" s="291"/>
      <c r="DV29" s="291"/>
      <c r="DW29" s="291"/>
      <c r="DX29" s="291"/>
      <c r="DY29" s="291"/>
      <c r="DZ29" s="291"/>
      <c r="EA29" s="207"/>
      <c r="EB29" s="207"/>
      <c r="EC29" s="291"/>
      <c r="ED29" s="291"/>
      <c r="EE29" s="291"/>
      <c r="EF29" s="291"/>
      <c r="EG29" s="291"/>
      <c r="EH29" s="291"/>
      <c r="EI29" s="291"/>
      <c r="EJ29" s="291"/>
      <c r="EK29" s="291"/>
      <c r="EL29" s="291"/>
      <c r="EM29" s="291"/>
      <c r="EN29" s="207"/>
      <c r="EO29" s="207"/>
      <c r="EP29" s="291"/>
      <c r="EQ29" s="291"/>
      <c r="ER29" s="291"/>
      <c r="ES29" s="291"/>
      <c r="ET29" s="291"/>
      <c r="EU29" s="291"/>
      <c r="EV29" s="291"/>
      <c r="EW29" s="291"/>
      <c r="EX29" s="291"/>
      <c r="EY29" s="291"/>
      <c r="EZ29" s="291"/>
      <c r="FA29" s="207"/>
      <c r="FB29" s="207"/>
      <c r="FC29" s="291"/>
      <c r="FD29" s="291"/>
      <c r="FE29" s="291"/>
      <c r="FF29" s="291"/>
      <c r="FG29" s="291"/>
      <c r="FH29" s="291"/>
      <c r="FI29" s="291"/>
      <c r="FJ29" s="291"/>
      <c r="FK29" s="291"/>
      <c r="FL29" s="291"/>
      <c r="FM29" s="291"/>
      <c r="FN29" s="207"/>
      <c r="FO29" s="207"/>
      <c r="FP29" s="291"/>
      <c r="FQ29" s="291"/>
      <c r="FR29" s="291"/>
      <c r="FS29" s="291"/>
      <c r="FT29" s="291"/>
      <c r="FU29" s="291"/>
      <c r="FV29" s="291"/>
      <c r="FW29" s="291"/>
      <c r="FX29" s="291"/>
      <c r="FY29" s="291"/>
      <c r="FZ29" s="291"/>
      <c r="GA29" s="207"/>
      <c r="GB29" s="207"/>
      <c r="GC29" s="291"/>
      <c r="GD29" s="291"/>
      <c r="GE29" s="291"/>
      <c r="GF29" s="291"/>
      <c r="GG29" s="291"/>
      <c r="GH29" s="291"/>
      <c r="GI29" s="291"/>
      <c r="GJ29" s="291"/>
      <c r="GK29" s="291"/>
      <c r="GL29" s="291"/>
      <c r="GM29" s="291"/>
      <c r="GN29" s="207"/>
      <c r="GO29" s="207"/>
      <c r="GP29" s="291"/>
      <c r="GQ29" s="291"/>
      <c r="GR29" s="291"/>
      <c r="GS29" s="291"/>
      <c r="GT29" s="291"/>
      <c r="GU29" s="291"/>
      <c r="GV29" s="291"/>
      <c r="GW29" s="291"/>
      <c r="GX29" s="291"/>
      <c r="GY29" s="291"/>
      <c r="GZ29" s="291"/>
      <c r="HA29" s="207"/>
      <c r="HB29" s="207"/>
      <c r="HC29" s="291"/>
      <c r="HD29" s="291"/>
      <c r="HE29" s="291"/>
      <c r="HF29" s="291"/>
      <c r="HG29" s="291"/>
      <c r="HH29" s="291"/>
      <c r="HI29" s="291"/>
      <c r="HJ29" s="291"/>
      <c r="HK29" s="291"/>
      <c r="HL29" s="291"/>
      <c r="HM29" s="291"/>
      <c r="HN29" s="207"/>
      <c r="HO29" s="207"/>
      <c r="HP29" s="291"/>
      <c r="HQ29" s="291"/>
      <c r="HR29" s="291"/>
      <c r="HS29" s="291"/>
      <c r="HT29" s="291"/>
      <c r="HU29" s="291"/>
      <c r="HV29" s="291"/>
      <c r="HW29" s="291"/>
      <c r="HX29" s="291"/>
      <c r="HY29" s="291"/>
      <c r="HZ29" s="291"/>
      <c r="IA29" s="207"/>
      <c r="IB29" s="207"/>
      <c r="IC29" s="291"/>
      <c r="ID29" s="291"/>
      <c r="IE29" s="291"/>
      <c r="IF29" s="291"/>
      <c r="IG29" s="291"/>
      <c r="IH29" s="291"/>
      <c r="II29" s="291"/>
      <c r="IJ29" s="291"/>
      <c r="IK29" s="291"/>
      <c r="IL29" s="291"/>
      <c r="IM29" s="291"/>
      <c r="IN29" s="207"/>
      <c r="IO29" s="207"/>
      <c r="IP29" s="291"/>
      <c r="IQ29" s="291"/>
      <c r="IR29" s="291"/>
      <c r="IS29" s="291"/>
      <c r="IT29" s="291"/>
      <c r="IU29" s="291"/>
      <c r="IV29" s="291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7"/>
      <c r="AB30" s="207"/>
      <c r="AC30" s="291"/>
      <c r="AD30" s="291"/>
      <c r="AE30" s="291"/>
      <c r="AF30" s="291"/>
      <c r="AG30" s="291"/>
      <c r="AH30" s="291"/>
      <c r="AI30" s="291"/>
      <c r="AJ30" s="291"/>
      <c r="AK30" s="291"/>
      <c r="AL30" s="291"/>
      <c r="AM30" s="291"/>
      <c r="AN30" s="207"/>
      <c r="AO30" s="207"/>
      <c r="AP30" s="291"/>
      <c r="AQ30" s="291"/>
      <c r="AR30" s="291"/>
      <c r="AS30" s="291"/>
      <c r="AT30" s="291"/>
      <c r="AU30" s="291"/>
      <c r="AV30" s="291"/>
      <c r="AW30" s="291"/>
      <c r="AX30" s="291"/>
      <c r="AY30" s="291"/>
      <c r="AZ30" s="291"/>
      <c r="BA30" s="207"/>
      <c r="BB30" s="207"/>
      <c r="BC30" s="291"/>
      <c r="BD30" s="291"/>
      <c r="BE30" s="291"/>
      <c r="BF30" s="291"/>
      <c r="BG30" s="291"/>
      <c r="BH30" s="291"/>
      <c r="BI30" s="291"/>
      <c r="BJ30" s="291"/>
      <c r="BK30" s="291"/>
      <c r="BL30" s="291"/>
      <c r="BM30" s="291"/>
      <c r="BN30" s="207"/>
      <c r="BO30" s="207"/>
      <c r="BP30" s="291"/>
      <c r="BQ30" s="291"/>
      <c r="BR30" s="291"/>
      <c r="BS30" s="291"/>
      <c r="BT30" s="291"/>
      <c r="BU30" s="291"/>
      <c r="BV30" s="291"/>
      <c r="BW30" s="291"/>
      <c r="BX30" s="291"/>
      <c r="BY30" s="291"/>
      <c r="BZ30" s="291"/>
      <c r="CA30" s="207"/>
      <c r="CB30" s="207"/>
      <c r="CC30" s="291"/>
      <c r="CD30" s="291"/>
      <c r="CE30" s="291"/>
      <c r="CF30" s="291"/>
      <c r="CG30" s="291"/>
      <c r="CH30" s="291"/>
      <c r="CI30" s="291"/>
      <c r="CJ30" s="291"/>
      <c r="CK30" s="291"/>
      <c r="CL30" s="291"/>
      <c r="CM30" s="291"/>
      <c r="CN30" s="207"/>
      <c r="CO30" s="207"/>
      <c r="CP30" s="291"/>
      <c r="CQ30" s="291"/>
      <c r="CR30" s="291"/>
      <c r="CS30" s="291"/>
      <c r="CT30" s="291"/>
      <c r="CU30" s="291"/>
      <c r="CV30" s="291"/>
      <c r="CW30" s="291"/>
      <c r="CX30" s="291"/>
      <c r="CY30" s="291"/>
      <c r="CZ30" s="291"/>
      <c r="DA30" s="207"/>
      <c r="DB30" s="207"/>
      <c r="DC30" s="291"/>
      <c r="DD30" s="291"/>
      <c r="DE30" s="291"/>
      <c r="DF30" s="291"/>
      <c r="DG30" s="291"/>
      <c r="DH30" s="291"/>
      <c r="DI30" s="291"/>
      <c r="DJ30" s="291"/>
      <c r="DK30" s="291"/>
      <c r="DL30" s="291"/>
      <c r="DM30" s="291"/>
      <c r="DN30" s="207"/>
      <c r="DO30" s="207"/>
      <c r="DP30" s="291"/>
      <c r="DQ30" s="291"/>
      <c r="DR30" s="291"/>
      <c r="DS30" s="291"/>
      <c r="DT30" s="291"/>
      <c r="DU30" s="291"/>
      <c r="DV30" s="291"/>
      <c r="DW30" s="291"/>
      <c r="DX30" s="291"/>
      <c r="DY30" s="291"/>
      <c r="DZ30" s="291"/>
      <c r="EA30" s="207"/>
      <c r="EB30" s="207"/>
      <c r="EC30" s="291"/>
      <c r="ED30" s="291"/>
      <c r="EE30" s="291"/>
      <c r="EF30" s="291"/>
      <c r="EG30" s="291"/>
      <c r="EH30" s="291"/>
      <c r="EI30" s="291"/>
      <c r="EJ30" s="291"/>
      <c r="EK30" s="291"/>
      <c r="EL30" s="291"/>
      <c r="EM30" s="291"/>
      <c r="EN30" s="207"/>
      <c r="EO30" s="207"/>
      <c r="EP30" s="291"/>
      <c r="EQ30" s="291"/>
      <c r="ER30" s="291"/>
      <c r="ES30" s="291"/>
      <c r="ET30" s="291"/>
      <c r="EU30" s="291"/>
      <c r="EV30" s="291"/>
      <c r="EW30" s="291"/>
      <c r="EX30" s="291"/>
      <c r="EY30" s="291"/>
      <c r="EZ30" s="291"/>
      <c r="FA30" s="207"/>
      <c r="FB30" s="207"/>
      <c r="FC30" s="291"/>
      <c r="FD30" s="291"/>
      <c r="FE30" s="291"/>
      <c r="FF30" s="291"/>
      <c r="FG30" s="291"/>
      <c r="FH30" s="291"/>
      <c r="FI30" s="291"/>
      <c r="FJ30" s="291"/>
      <c r="FK30" s="291"/>
      <c r="FL30" s="291"/>
      <c r="FM30" s="291"/>
      <c r="FN30" s="207"/>
      <c r="FO30" s="207"/>
      <c r="FP30" s="291"/>
      <c r="FQ30" s="291"/>
      <c r="FR30" s="291"/>
      <c r="FS30" s="291"/>
      <c r="FT30" s="291"/>
      <c r="FU30" s="291"/>
      <c r="FV30" s="291"/>
      <c r="FW30" s="291"/>
      <c r="FX30" s="291"/>
      <c r="FY30" s="291"/>
      <c r="FZ30" s="291"/>
      <c r="GA30" s="207"/>
      <c r="GB30" s="207"/>
      <c r="GC30" s="291"/>
      <c r="GD30" s="291"/>
      <c r="GE30" s="291"/>
      <c r="GF30" s="291"/>
      <c r="GG30" s="291"/>
      <c r="GH30" s="291"/>
      <c r="GI30" s="291"/>
      <c r="GJ30" s="291"/>
      <c r="GK30" s="291"/>
      <c r="GL30" s="291"/>
      <c r="GM30" s="291"/>
      <c r="GN30" s="207"/>
      <c r="GO30" s="207"/>
      <c r="GP30" s="291"/>
      <c r="GQ30" s="291"/>
      <c r="GR30" s="291"/>
      <c r="GS30" s="291"/>
      <c r="GT30" s="291"/>
      <c r="GU30" s="291"/>
      <c r="GV30" s="291"/>
      <c r="GW30" s="291"/>
      <c r="GX30" s="291"/>
      <c r="GY30" s="291"/>
      <c r="GZ30" s="291"/>
      <c r="HA30" s="207"/>
      <c r="HB30" s="207"/>
      <c r="HC30" s="291"/>
      <c r="HD30" s="291"/>
      <c r="HE30" s="291"/>
      <c r="HF30" s="291"/>
      <c r="HG30" s="291"/>
      <c r="HH30" s="291"/>
      <c r="HI30" s="291"/>
      <c r="HJ30" s="291"/>
      <c r="HK30" s="291"/>
      <c r="HL30" s="291"/>
      <c r="HM30" s="291"/>
      <c r="HN30" s="207"/>
      <c r="HO30" s="207"/>
      <c r="HP30" s="291"/>
      <c r="HQ30" s="291"/>
      <c r="HR30" s="291"/>
      <c r="HS30" s="291"/>
      <c r="HT30" s="291"/>
      <c r="HU30" s="291"/>
      <c r="HV30" s="291"/>
      <c r="HW30" s="291"/>
      <c r="HX30" s="291"/>
      <c r="HY30" s="291"/>
      <c r="HZ30" s="291"/>
      <c r="IA30" s="207"/>
      <c r="IB30" s="207"/>
      <c r="IC30" s="291"/>
      <c r="ID30" s="291"/>
      <c r="IE30" s="291"/>
      <c r="IF30" s="291"/>
      <c r="IG30" s="291"/>
      <c r="IH30" s="291"/>
      <c r="II30" s="291"/>
      <c r="IJ30" s="291"/>
      <c r="IK30" s="291"/>
      <c r="IL30" s="291"/>
      <c r="IM30" s="291"/>
      <c r="IN30" s="207"/>
      <c r="IO30" s="207"/>
      <c r="IP30" s="291"/>
      <c r="IQ30" s="291"/>
      <c r="IR30" s="291"/>
      <c r="IS30" s="291"/>
      <c r="IT30" s="291"/>
      <c r="IU30" s="291"/>
      <c r="IV30" s="291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7"/>
      <c r="AB31" s="207"/>
      <c r="AC31" s="291"/>
      <c r="AD31" s="291"/>
      <c r="AE31" s="291"/>
      <c r="AF31" s="291"/>
      <c r="AG31" s="291"/>
      <c r="AH31" s="291"/>
      <c r="AI31" s="291"/>
      <c r="AJ31" s="291"/>
      <c r="AK31" s="291"/>
      <c r="AL31" s="291"/>
      <c r="AM31" s="291"/>
      <c r="AN31" s="207"/>
      <c r="AO31" s="207"/>
      <c r="AP31" s="291"/>
      <c r="AQ31" s="291"/>
      <c r="AR31" s="291"/>
      <c r="AS31" s="291"/>
      <c r="AT31" s="291"/>
      <c r="AU31" s="291"/>
      <c r="AV31" s="291"/>
      <c r="AW31" s="291"/>
      <c r="AX31" s="291"/>
      <c r="AY31" s="291"/>
      <c r="AZ31" s="291"/>
      <c r="BA31" s="207"/>
      <c r="BB31" s="207"/>
      <c r="BC31" s="291"/>
      <c r="BD31" s="291"/>
      <c r="BE31" s="291"/>
      <c r="BF31" s="291"/>
      <c r="BG31" s="291"/>
      <c r="BH31" s="291"/>
      <c r="BI31" s="291"/>
      <c r="BJ31" s="291"/>
      <c r="BK31" s="291"/>
      <c r="BL31" s="291"/>
      <c r="BM31" s="291"/>
      <c r="BN31" s="207"/>
      <c r="BO31" s="207"/>
      <c r="BP31" s="291"/>
      <c r="BQ31" s="291"/>
      <c r="BR31" s="291"/>
      <c r="BS31" s="291"/>
      <c r="BT31" s="291"/>
      <c r="BU31" s="291"/>
      <c r="BV31" s="291"/>
      <c r="BW31" s="291"/>
      <c r="BX31" s="291"/>
      <c r="BY31" s="291"/>
      <c r="BZ31" s="291"/>
      <c r="CA31" s="207"/>
      <c r="CB31" s="207"/>
      <c r="CC31" s="291"/>
      <c r="CD31" s="291"/>
      <c r="CE31" s="291"/>
      <c r="CF31" s="291"/>
      <c r="CG31" s="291"/>
      <c r="CH31" s="291"/>
      <c r="CI31" s="291"/>
      <c r="CJ31" s="291"/>
      <c r="CK31" s="291"/>
      <c r="CL31" s="291"/>
      <c r="CM31" s="291"/>
      <c r="CN31" s="207"/>
      <c r="CO31" s="207"/>
      <c r="CP31" s="291"/>
      <c r="CQ31" s="291"/>
      <c r="CR31" s="291"/>
      <c r="CS31" s="291"/>
      <c r="CT31" s="291"/>
      <c r="CU31" s="291"/>
      <c r="CV31" s="291"/>
      <c r="CW31" s="291"/>
      <c r="CX31" s="291"/>
      <c r="CY31" s="291"/>
      <c r="CZ31" s="291"/>
      <c r="DA31" s="207"/>
      <c r="DB31" s="207"/>
      <c r="DC31" s="291"/>
      <c r="DD31" s="291"/>
      <c r="DE31" s="291"/>
      <c r="DF31" s="291"/>
      <c r="DG31" s="291"/>
      <c r="DH31" s="291"/>
      <c r="DI31" s="291"/>
      <c r="DJ31" s="291"/>
      <c r="DK31" s="291"/>
      <c r="DL31" s="291"/>
      <c r="DM31" s="291"/>
      <c r="DN31" s="207"/>
      <c r="DO31" s="207"/>
      <c r="DP31" s="291"/>
      <c r="DQ31" s="291"/>
      <c r="DR31" s="291"/>
      <c r="DS31" s="291"/>
      <c r="DT31" s="291"/>
      <c r="DU31" s="291"/>
      <c r="DV31" s="291"/>
      <c r="DW31" s="291"/>
      <c r="DX31" s="291"/>
      <c r="DY31" s="291"/>
      <c r="DZ31" s="291"/>
      <c r="EA31" s="207"/>
      <c r="EB31" s="207"/>
      <c r="EC31" s="291"/>
      <c r="ED31" s="291"/>
      <c r="EE31" s="291"/>
      <c r="EF31" s="291"/>
      <c r="EG31" s="291"/>
      <c r="EH31" s="291"/>
      <c r="EI31" s="291"/>
      <c r="EJ31" s="291"/>
      <c r="EK31" s="291"/>
      <c r="EL31" s="291"/>
      <c r="EM31" s="291"/>
      <c r="EN31" s="207"/>
      <c r="EO31" s="207"/>
      <c r="EP31" s="291"/>
      <c r="EQ31" s="291"/>
      <c r="ER31" s="291"/>
      <c r="ES31" s="291"/>
      <c r="ET31" s="291"/>
      <c r="EU31" s="291"/>
      <c r="EV31" s="291"/>
      <c r="EW31" s="291"/>
      <c r="EX31" s="291"/>
      <c r="EY31" s="291"/>
      <c r="EZ31" s="291"/>
      <c r="FA31" s="207"/>
      <c r="FB31" s="207"/>
      <c r="FC31" s="291"/>
      <c r="FD31" s="291"/>
      <c r="FE31" s="291"/>
      <c r="FF31" s="291"/>
      <c r="FG31" s="291"/>
      <c r="FH31" s="291"/>
      <c r="FI31" s="291"/>
      <c r="FJ31" s="291"/>
      <c r="FK31" s="291"/>
      <c r="FL31" s="291"/>
      <c r="FM31" s="291"/>
      <c r="FN31" s="207"/>
      <c r="FO31" s="207"/>
      <c r="FP31" s="291"/>
      <c r="FQ31" s="291"/>
      <c r="FR31" s="291"/>
      <c r="FS31" s="291"/>
      <c r="FT31" s="291"/>
      <c r="FU31" s="291"/>
      <c r="FV31" s="291"/>
      <c r="FW31" s="291"/>
      <c r="FX31" s="291"/>
      <c r="FY31" s="291"/>
      <c r="FZ31" s="291"/>
      <c r="GA31" s="207"/>
      <c r="GB31" s="207"/>
      <c r="GC31" s="291"/>
      <c r="GD31" s="291"/>
      <c r="GE31" s="291"/>
      <c r="GF31" s="291"/>
      <c r="GG31" s="291"/>
      <c r="GH31" s="291"/>
      <c r="GI31" s="291"/>
      <c r="GJ31" s="291"/>
      <c r="GK31" s="291"/>
      <c r="GL31" s="291"/>
      <c r="GM31" s="291"/>
      <c r="GN31" s="207"/>
      <c r="GO31" s="207"/>
      <c r="GP31" s="291"/>
      <c r="GQ31" s="291"/>
      <c r="GR31" s="291"/>
      <c r="GS31" s="291"/>
      <c r="GT31" s="291"/>
      <c r="GU31" s="291"/>
      <c r="GV31" s="291"/>
      <c r="GW31" s="291"/>
      <c r="GX31" s="291"/>
      <c r="GY31" s="291"/>
      <c r="GZ31" s="291"/>
      <c r="HA31" s="207"/>
      <c r="HB31" s="207"/>
      <c r="HC31" s="291"/>
      <c r="HD31" s="291"/>
      <c r="HE31" s="291"/>
      <c r="HF31" s="291"/>
      <c r="HG31" s="291"/>
      <c r="HH31" s="291"/>
      <c r="HI31" s="291"/>
      <c r="HJ31" s="291"/>
      <c r="HK31" s="291"/>
      <c r="HL31" s="291"/>
      <c r="HM31" s="291"/>
      <c r="HN31" s="207"/>
      <c r="HO31" s="207"/>
      <c r="HP31" s="291"/>
      <c r="HQ31" s="291"/>
      <c r="HR31" s="291"/>
      <c r="HS31" s="291"/>
      <c r="HT31" s="291"/>
      <c r="HU31" s="291"/>
      <c r="HV31" s="291"/>
      <c r="HW31" s="291"/>
      <c r="HX31" s="291"/>
      <c r="HY31" s="291"/>
      <c r="HZ31" s="291"/>
      <c r="IA31" s="207"/>
      <c r="IB31" s="207"/>
      <c r="IC31" s="291"/>
      <c r="ID31" s="291"/>
      <c r="IE31" s="291"/>
      <c r="IF31" s="291"/>
      <c r="IG31" s="291"/>
      <c r="IH31" s="291"/>
      <c r="II31" s="291"/>
      <c r="IJ31" s="291"/>
      <c r="IK31" s="291"/>
      <c r="IL31" s="291"/>
      <c r="IM31" s="291"/>
      <c r="IN31" s="207"/>
      <c r="IO31" s="207"/>
      <c r="IP31" s="291"/>
      <c r="IQ31" s="291"/>
      <c r="IR31" s="291"/>
      <c r="IS31" s="291"/>
      <c r="IT31" s="291"/>
      <c r="IU31" s="291"/>
      <c r="IV31" s="291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4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7"/>
      <c r="AB38" s="207"/>
      <c r="AC38" s="291"/>
      <c r="AD38" s="291"/>
      <c r="AE38" s="291"/>
      <c r="AF38" s="291"/>
      <c r="AG38" s="291"/>
      <c r="AH38" s="291"/>
      <c r="AI38" s="291"/>
      <c r="AJ38" s="291"/>
      <c r="AK38" s="291"/>
      <c r="AL38" s="291"/>
      <c r="AM38" s="291"/>
      <c r="AN38" s="207"/>
      <c r="AO38" s="207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07"/>
      <c r="BB38" s="207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07"/>
      <c r="BO38" s="207"/>
      <c r="BP38" s="291"/>
      <c r="BQ38" s="291"/>
      <c r="BR38" s="291"/>
      <c r="BS38" s="291"/>
      <c r="BT38" s="291"/>
      <c r="BU38" s="291"/>
      <c r="BV38" s="291"/>
      <c r="BW38" s="291"/>
      <c r="BX38" s="291"/>
      <c r="BY38" s="291"/>
      <c r="BZ38" s="291"/>
      <c r="CA38" s="207"/>
      <c r="CB38" s="207"/>
      <c r="CC38" s="291"/>
      <c r="CD38" s="291"/>
      <c r="CE38" s="291"/>
      <c r="CF38" s="291"/>
      <c r="CG38" s="291"/>
      <c r="CH38" s="291"/>
      <c r="CI38" s="291"/>
      <c r="CJ38" s="291"/>
      <c r="CK38" s="291"/>
      <c r="CL38" s="291"/>
      <c r="CM38" s="291"/>
      <c r="CN38" s="207"/>
      <c r="CO38" s="207"/>
      <c r="CP38" s="291"/>
      <c r="CQ38" s="291"/>
      <c r="CR38" s="291"/>
      <c r="CS38" s="291"/>
      <c r="CT38" s="291"/>
      <c r="CU38" s="291"/>
      <c r="CV38" s="291"/>
      <c r="CW38" s="291"/>
      <c r="CX38" s="291"/>
      <c r="CY38" s="291"/>
      <c r="CZ38" s="291"/>
      <c r="DA38" s="207"/>
      <c r="DB38" s="207"/>
      <c r="DC38" s="291"/>
      <c r="DD38" s="291"/>
      <c r="DE38" s="291"/>
      <c r="DF38" s="291"/>
      <c r="DG38" s="291"/>
      <c r="DH38" s="291"/>
      <c r="DI38" s="291"/>
      <c r="DJ38" s="291"/>
      <c r="DK38" s="291"/>
      <c r="DL38" s="291"/>
      <c r="DM38" s="291"/>
      <c r="DN38" s="207"/>
      <c r="DO38" s="207"/>
      <c r="DP38" s="291"/>
      <c r="DQ38" s="291"/>
      <c r="DR38" s="291"/>
      <c r="DS38" s="291"/>
      <c r="DT38" s="291"/>
      <c r="DU38" s="291"/>
      <c r="DV38" s="291"/>
      <c r="DW38" s="291"/>
      <c r="DX38" s="291"/>
      <c r="DY38" s="291"/>
      <c r="DZ38" s="291"/>
      <c r="EA38" s="207"/>
      <c r="EB38" s="207"/>
      <c r="EC38" s="291"/>
      <c r="ED38" s="291"/>
      <c r="EE38" s="291"/>
      <c r="EF38" s="291"/>
      <c r="EG38" s="291"/>
      <c r="EH38" s="291"/>
      <c r="EI38" s="291"/>
      <c r="EJ38" s="291"/>
      <c r="EK38" s="291"/>
      <c r="EL38" s="291"/>
      <c r="EM38" s="291"/>
      <c r="EN38" s="207"/>
      <c r="EO38" s="207"/>
      <c r="EP38" s="291"/>
      <c r="EQ38" s="291"/>
      <c r="ER38" s="291"/>
      <c r="ES38" s="291"/>
      <c r="ET38" s="291"/>
      <c r="EU38" s="291"/>
      <c r="EV38" s="291"/>
      <c r="EW38" s="291"/>
      <c r="EX38" s="291"/>
      <c r="EY38" s="291"/>
      <c r="EZ38" s="291"/>
      <c r="FA38" s="207"/>
      <c r="FB38" s="207"/>
      <c r="FC38" s="291"/>
      <c r="FD38" s="291"/>
      <c r="FE38" s="291"/>
      <c r="FF38" s="291"/>
      <c r="FG38" s="291"/>
      <c r="FH38" s="291"/>
      <c r="FI38" s="291"/>
      <c r="FJ38" s="291"/>
      <c r="FK38" s="291"/>
      <c r="FL38" s="291"/>
      <c r="FM38" s="291"/>
      <c r="FN38" s="207"/>
      <c r="FO38" s="207"/>
      <c r="FP38" s="291"/>
      <c r="FQ38" s="291"/>
      <c r="FR38" s="291"/>
      <c r="FS38" s="291"/>
      <c r="FT38" s="291"/>
      <c r="FU38" s="291"/>
      <c r="FV38" s="291"/>
      <c r="FW38" s="291"/>
      <c r="FX38" s="291"/>
      <c r="FY38" s="291"/>
      <c r="FZ38" s="291"/>
      <c r="GA38" s="207"/>
      <c r="GB38" s="207"/>
      <c r="GC38" s="291"/>
      <c r="GD38" s="291"/>
      <c r="GE38" s="291"/>
      <c r="GF38" s="291"/>
      <c r="GG38" s="291"/>
      <c r="GH38" s="291"/>
      <c r="GI38" s="291"/>
      <c r="GJ38" s="291"/>
      <c r="GK38" s="291"/>
      <c r="GL38" s="291"/>
      <c r="GM38" s="291"/>
      <c r="GN38" s="207"/>
      <c r="GO38" s="207"/>
      <c r="GP38" s="291"/>
      <c r="GQ38" s="291"/>
      <c r="GR38" s="291"/>
      <c r="GS38" s="291"/>
      <c r="GT38" s="291"/>
      <c r="GU38" s="291"/>
      <c r="GV38" s="291"/>
      <c r="GW38" s="291"/>
      <c r="GX38" s="291"/>
      <c r="GY38" s="291"/>
      <c r="GZ38" s="291"/>
      <c r="HA38" s="207"/>
      <c r="HB38" s="207"/>
      <c r="HC38" s="291"/>
      <c r="HD38" s="291"/>
      <c r="HE38" s="291"/>
      <c r="HF38" s="291"/>
      <c r="HG38" s="291"/>
      <c r="HH38" s="291"/>
      <c r="HI38" s="291"/>
      <c r="HJ38" s="291"/>
      <c r="HK38" s="291"/>
      <c r="HL38" s="291"/>
      <c r="HM38" s="291"/>
      <c r="HN38" s="207"/>
      <c r="HO38" s="207"/>
      <c r="HP38" s="291"/>
      <c r="HQ38" s="291"/>
      <c r="HR38" s="291"/>
      <c r="HS38" s="291"/>
      <c r="HT38" s="291"/>
      <c r="HU38" s="291"/>
      <c r="HV38" s="291"/>
      <c r="HW38" s="291"/>
      <c r="HX38" s="291"/>
      <c r="HY38" s="291"/>
      <c r="HZ38" s="291"/>
      <c r="IA38" s="207"/>
      <c r="IB38" s="207"/>
      <c r="IC38" s="291"/>
      <c r="ID38" s="291"/>
      <c r="IE38" s="291"/>
      <c r="IF38" s="291"/>
      <c r="IG38" s="291"/>
      <c r="IH38" s="291"/>
      <c r="II38" s="291"/>
      <c r="IJ38" s="291"/>
      <c r="IK38" s="291"/>
      <c r="IL38" s="291"/>
      <c r="IM38" s="291"/>
      <c r="IN38" s="207"/>
      <c r="IO38" s="207"/>
      <c r="IP38" s="291"/>
      <c r="IQ38" s="291"/>
      <c r="IR38" s="291"/>
      <c r="IS38" s="291"/>
      <c r="IT38" s="291"/>
      <c r="IU38" s="291"/>
      <c r="IV38" s="291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7"/>
      <c r="AB39" s="207"/>
      <c r="AC39" s="291"/>
      <c r="AD39" s="291"/>
      <c r="AE39" s="291"/>
      <c r="AF39" s="291"/>
      <c r="AG39" s="291"/>
      <c r="AH39" s="291"/>
      <c r="AI39" s="291"/>
      <c r="AJ39" s="291"/>
      <c r="AK39" s="291"/>
      <c r="AL39" s="291"/>
      <c r="AM39" s="291"/>
      <c r="AN39" s="207"/>
      <c r="AO39" s="207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07"/>
      <c r="BB39" s="207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07"/>
      <c r="BO39" s="207"/>
      <c r="BP39" s="291"/>
      <c r="BQ39" s="291"/>
      <c r="BR39" s="291"/>
      <c r="BS39" s="291"/>
      <c r="BT39" s="291"/>
      <c r="BU39" s="291"/>
      <c r="BV39" s="291"/>
      <c r="BW39" s="291"/>
      <c r="BX39" s="291"/>
      <c r="BY39" s="291"/>
      <c r="BZ39" s="291"/>
      <c r="CA39" s="207"/>
      <c r="CB39" s="207"/>
      <c r="CC39" s="291"/>
      <c r="CD39" s="291"/>
      <c r="CE39" s="291"/>
      <c r="CF39" s="291"/>
      <c r="CG39" s="291"/>
      <c r="CH39" s="291"/>
      <c r="CI39" s="291"/>
      <c r="CJ39" s="291"/>
      <c r="CK39" s="291"/>
      <c r="CL39" s="291"/>
      <c r="CM39" s="291"/>
      <c r="CN39" s="207"/>
      <c r="CO39" s="207"/>
      <c r="CP39" s="291"/>
      <c r="CQ39" s="291"/>
      <c r="CR39" s="291"/>
      <c r="CS39" s="291"/>
      <c r="CT39" s="291"/>
      <c r="CU39" s="291"/>
      <c r="CV39" s="291"/>
      <c r="CW39" s="291"/>
      <c r="CX39" s="291"/>
      <c r="CY39" s="291"/>
      <c r="CZ39" s="291"/>
      <c r="DA39" s="207"/>
      <c r="DB39" s="207"/>
      <c r="DC39" s="291"/>
      <c r="DD39" s="291"/>
      <c r="DE39" s="291"/>
      <c r="DF39" s="291"/>
      <c r="DG39" s="291"/>
      <c r="DH39" s="291"/>
      <c r="DI39" s="291"/>
      <c r="DJ39" s="291"/>
      <c r="DK39" s="291"/>
      <c r="DL39" s="291"/>
      <c r="DM39" s="291"/>
      <c r="DN39" s="207"/>
      <c r="DO39" s="207"/>
      <c r="DP39" s="291"/>
      <c r="DQ39" s="291"/>
      <c r="DR39" s="291"/>
      <c r="DS39" s="291"/>
      <c r="DT39" s="291"/>
      <c r="DU39" s="291"/>
      <c r="DV39" s="291"/>
      <c r="DW39" s="291"/>
      <c r="DX39" s="291"/>
      <c r="DY39" s="291"/>
      <c r="DZ39" s="291"/>
      <c r="EA39" s="207"/>
      <c r="EB39" s="207"/>
      <c r="EC39" s="291"/>
      <c r="ED39" s="291"/>
      <c r="EE39" s="291"/>
      <c r="EF39" s="291"/>
      <c r="EG39" s="291"/>
      <c r="EH39" s="291"/>
      <c r="EI39" s="291"/>
      <c r="EJ39" s="291"/>
      <c r="EK39" s="291"/>
      <c r="EL39" s="291"/>
      <c r="EM39" s="291"/>
      <c r="EN39" s="207"/>
      <c r="EO39" s="207"/>
      <c r="EP39" s="291"/>
      <c r="EQ39" s="291"/>
      <c r="ER39" s="291"/>
      <c r="ES39" s="291"/>
      <c r="ET39" s="291"/>
      <c r="EU39" s="291"/>
      <c r="EV39" s="291"/>
      <c r="EW39" s="291"/>
      <c r="EX39" s="291"/>
      <c r="EY39" s="291"/>
      <c r="EZ39" s="291"/>
      <c r="FA39" s="207"/>
      <c r="FB39" s="207"/>
      <c r="FC39" s="291"/>
      <c r="FD39" s="291"/>
      <c r="FE39" s="291"/>
      <c r="FF39" s="291"/>
      <c r="FG39" s="291"/>
      <c r="FH39" s="291"/>
      <c r="FI39" s="291"/>
      <c r="FJ39" s="291"/>
      <c r="FK39" s="291"/>
      <c r="FL39" s="291"/>
      <c r="FM39" s="291"/>
      <c r="FN39" s="207"/>
      <c r="FO39" s="207"/>
      <c r="FP39" s="291"/>
      <c r="FQ39" s="291"/>
      <c r="FR39" s="291"/>
      <c r="FS39" s="291"/>
      <c r="FT39" s="291"/>
      <c r="FU39" s="291"/>
      <c r="FV39" s="291"/>
      <c r="FW39" s="291"/>
      <c r="FX39" s="291"/>
      <c r="FY39" s="291"/>
      <c r="FZ39" s="291"/>
      <c r="GA39" s="207"/>
      <c r="GB39" s="207"/>
      <c r="GC39" s="291"/>
      <c r="GD39" s="291"/>
      <c r="GE39" s="291"/>
      <c r="GF39" s="291"/>
      <c r="GG39" s="291"/>
      <c r="GH39" s="291"/>
      <c r="GI39" s="291"/>
      <c r="GJ39" s="291"/>
      <c r="GK39" s="291"/>
      <c r="GL39" s="291"/>
      <c r="GM39" s="291"/>
      <c r="GN39" s="207"/>
      <c r="GO39" s="207"/>
      <c r="GP39" s="291"/>
      <c r="GQ39" s="291"/>
      <c r="GR39" s="291"/>
      <c r="GS39" s="291"/>
      <c r="GT39" s="291"/>
      <c r="GU39" s="291"/>
      <c r="GV39" s="291"/>
      <c r="GW39" s="291"/>
      <c r="GX39" s="291"/>
      <c r="GY39" s="291"/>
      <c r="GZ39" s="291"/>
      <c r="HA39" s="207"/>
      <c r="HB39" s="207"/>
      <c r="HC39" s="291"/>
      <c r="HD39" s="291"/>
      <c r="HE39" s="291"/>
      <c r="HF39" s="291"/>
      <c r="HG39" s="291"/>
      <c r="HH39" s="291"/>
      <c r="HI39" s="291"/>
      <c r="HJ39" s="291"/>
      <c r="HK39" s="291"/>
      <c r="HL39" s="291"/>
      <c r="HM39" s="291"/>
      <c r="HN39" s="207"/>
      <c r="HO39" s="207"/>
      <c r="HP39" s="291"/>
      <c r="HQ39" s="291"/>
      <c r="HR39" s="291"/>
      <c r="HS39" s="291"/>
      <c r="HT39" s="291"/>
      <c r="HU39" s="291"/>
      <c r="HV39" s="291"/>
      <c r="HW39" s="291"/>
      <c r="HX39" s="291"/>
      <c r="HY39" s="291"/>
      <c r="HZ39" s="291"/>
      <c r="IA39" s="207"/>
      <c r="IB39" s="207"/>
      <c r="IC39" s="291"/>
      <c r="ID39" s="291"/>
      <c r="IE39" s="291"/>
      <c r="IF39" s="291"/>
      <c r="IG39" s="291"/>
      <c r="IH39" s="291"/>
      <c r="II39" s="291"/>
      <c r="IJ39" s="291"/>
      <c r="IK39" s="291"/>
      <c r="IL39" s="291"/>
      <c r="IM39" s="291"/>
      <c r="IN39" s="207"/>
      <c r="IO39" s="207"/>
      <c r="IP39" s="291"/>
      <c r="IQ39" s="291"/>
      <c r="IR39" s="291"/>
      <c r="IS39" s="291"/>
      <c r="IT39" s="291"/>
      <c r="IU39" s="291"/>
      <c r="IV39" s="291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7"/>
      <c r="AB40" s="207"/>
      <c r="AC40" s="291"/>
      <c r="AD40" s="291"/>
      <c r="AE40" s="291"/>
      <c r="AF40" s="291"/>
      <c r="AG40" s="291"/>
      <c r="AH40" s="291"/>
      <c r="AI40" s="291"/>
      <c r="AJ40" s="291"/>
      <c r="AK40" s="291"/>
      <c r="AL40" s="291"/>
      <c r="AM40" s="291"/>
      <c r="AN40" s="207"/>
      <c r="AO40" s="207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07"/>
      <c r="BB40" s="207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07"/>
      <c r="BO40" s="207"/>
      <c r="BP40" s="291"/>
      <c r="BQ40" s="291"/>
      <c r="BR40" s="291"/>
      <c r="BS40" s="291"/>
      <c r="BT40" s="291"/>
      <c r="BU40" s="291"/>
      <c r="BV40" s="291"/>
      <c r="BW40" s="291"/>
      <c r="BX40" s="291"/>
      <c r="BY40" s="291"/>
      <c r="BZ40" s="291"/>
      <c r="CA40" s="207"/>
      <c r="CB40" s="207"/>
      <c r="CC40" s="291"/>
      <c r="CD40" s="291"/>
      <c r="CE40" s="291"/>
      <c r="CF40" s="291"/>
      <c r="CG40" s="291"/>
      <c r="CH40" s="291"/>
      <c r="CI40" s="291"/>
      <c r="CJ40" s="291"/>
      <c r="CK40" s="291"/>
      <c r="CL40" s="291"/>
      <c r="CM40" s="291"/>
      <c r="CN40" s="207"/>
      <c r="CO40" s="207"/>
      <c r="CP40" s="291"/>
      <c r="CQ40" s="291"/>
      <c r="CR40" s="291"/>
      <c r="CS40" s="291"/>
      <c r="CT40" s="291"/>
      <c r="CU40" s="291"/>
      <c r="CV40" s="291"/>
      <c r="CW40" s="291"/>
      <c r="CX40" s="291"/>
      <c r="CY40" s="291"/>
      <c r="CZ40" s="291"/>
      <c r="DA40" s="207"/>
      <c r="DB40" s="207"/>
      <c r="DC40" s="291"/>
      <c r="DD40" s="291"/>
      <c r="DE40" s="291"/>
      <c r="DF40" s="291"/>
      <c r="DG40" s="291"/>
      <c r="DH40" s="291"/>
      <c r="DI40" s="291"/>
      <c r="DJ40" s="291"/>
      <c r="DK40" s="291"/>
      <c r="DL40" s="291"/>
      <c r="DM40" s="291"/>
      <c r="DN40" s="207"/>
      <c r="DO40" s="207"/>
      <c r="DP40" s="291"/>
      <c r="DQ40" s="291"/>
      <c r="DR40" s="291"/>
      <c r="DS40" s="291"/>
      <c r="DT40" s="291"/>
      <c r="DU40" s="291"/>
      <c r="DV40" s="291"/>
      <c r="DW40" s="291"/>
      <c r="DX40" s="291"/>
      <c r="DY40" s="291"/>
      <c r="DZ40" s="291"/>
      <c r="EA40" s="207"/>
      <c r="EB40" s="207"/>
      <c r="EC40" s="291"/>
      <c r="ED40" s="291"/>
      <c r="EE40" s="291"/>
      <c r="EF40" s="291"/>
      <c r="EG40" s="291"/>
      <c r="EH40" s="291"/>
      <c r="EI40" s="291"/>
      <c r="EJ40" s="291"/>
      <c r="EK40" s="291"/>
      <c r="EL40" s="291"/>
      <c r="EM40" s="291"/>
      <c r="EN40" s="207"/>
      <c r="EO40" s="207"/>
      <c r="EP40" s="291"/>
      <c r="EQ40" s="291"/>
      <c r="ER40" s="291"/>
      <c r="ES40" s="291"/>
      <c r="ET40" s="291"/>
      <c r="EU40" s="291"/>
      <c r="EV40" s="291"/>
      <c r="EW40" s="291"/>
      <c r="EX40" s="291"/>
      <c r="EY40" s="291"/>
      <c r="EZ40" s="291"/>
      <c r="FA40" s="207"/>
      <c r="FB40" s="207"/>
      <c r="FC40" s="291"/>
      <c r="FD40" s="291"/>
      <c r="FE40" s="291"/>
      <c r="FF40" s="291"/>
      <c r="FG40" s="291"/>
      <c r="FH40" s="291"/>
      <c r="FI40" s="291"/>
      <c r="FJ40" s="291"/>
      <c r="FK40" s="291"/>
      <c r="FL40" s="291"/>
      <c r="FM40" s="291"/>
      <c r="FN40" s="207"/>
      <c r="FO40" s="207"/>
      <c r="FP40" s="291"/>
      <c r="FQ40" s="291"/>
      <c r="FR40" s="291"/>
      <c r="FS40" s="291"/>
      <c r="FT40" s="291"/>
      <c r="FU40" s="291"/>
      <c r="FV40" s="291"/>
      <c r="FW40" s="291"/>
      <c r="FX40" s="291"/>
      <c r="FY40" s="291"/>
      <c r="FZ40" s="291"/>
      <c r="GA40" s="207"/>
      <c r="GB40" s="207"/>
      <c r="GC40" s="291"/>
      <c r="GD40" s="291"/>
      <c r="GE40" s="291"/>
      <c r="GF40" s="291"/>
      <c r="GG40" s="291"/>
      <c r="GH40" s="291"/>
      <c r="GI40" s="291"/>
      <c r="GJ40" s="291"/>
      <c r="GK40" s="291"/>
      <c r="GL40" s="291"/>
      <c r="GM40" s="291"/>
      <c r="GN40" s="207"/>
      <c r="GO40" s="207"/>
      <c r="GP40" s="291"/>
      <c r="GQ40" s="291"/>
      <c r="GR40" s="291"/>
      <c r="GS40" s="291"/>
      <c r="GT40" s="291"/>
      <c r="GU40" s="291"/>
      <c r="GV40" s="291"/>
      <c r="GW40" s="291"/>
      <c r="GX40" s="291"/>
      <c r="GY40" s="291"/>
      <c r="GZ40" s="291"/>
      <c r="HA40" s="207"/>
      <c r="HB40" s="207"/>
      <c r="HC40" s="291"/>
      <c r="HD40" s="291"/>
      <c r="HE40" s="291"/>
      <c r="HF40" s="291"/>
      <c r="HG40" s="291"/>
      <c r="HH40" s="291"/>
      <c r="HI40" s="291"/>
      <c r="HJ40" s="291"/>
      <c r="HK40" s="291"/>
      <c r="HL40" s="291"/>
      <c r="HM40" s="291"/>
      <c r="HN40" s="207"/>
      <c r="HO40" s="207"/>
      <c r="HP40" s="291"/>
      <c r="HQ40" s="291"/>
      <c r="HR40" s="291"/>
      <c r="HS40" s="291"/>
      <c r="HT40" s="291"/>
      <c r="HU40" s="291"/>
      <c r="HV40" s="291"/>
      <c r="HW40" s="291"/>
      <c r="HX40" s="291"/>
      <c r="HY40" s="291"/>
      <c r="HZ40" s="291"/>
      <c r="IA40" s="207"/>
      <c r="IB40" s="207"/>
      <c r="IC40" s="291"/>
      <c r="ID40" s="291"/>
      <c r="IE40" s="291"/>
      <c r="IF40" s="291"/>
      <c r="IG40" s="291"/>
      <c r="IH40" s="291"/>
      <c r="II40" s="291"/>
      <c r="IJ40" s="291"/>
      <c r="IK40" s="291"/>
      <c r="IL40" s="291"/>
      <c r="IM40" s="291"/>
      <c r="IN40" s="207"/>
      <c r="IO40" s="207"/>
      <c r="IP40" s="291"/>
      <c r="IQ40" s="291"/>
      <c r="IR40" s="291"/>
      <c r="IS40" s="291"/>
      <c r="IT40" s="291"/>
      <c r="IU40" s="291"/>
      <c r="IV40" s="291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88"/>
      <c r="D70" s="288"/>
      <c r="E70" s="288"/>
      <c r="F70" s="288"/>
      <c r="G70" s="288"/>
      <c r="H70" s="288"/>
      <c r="I70" s="288"/>
      <c r="J70" s="288"/>
      <c r="K70" s="288"/>
      <c r="L70" s="288"/>
      <c r="M70" s="28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0" t="s">
        <v>848</v>
      </c>
      <c r="B72" s="290"/>
      <c r="C72" s="290"/>
      <c r="D72" s="290"/>
      <c r="E72" s="29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5"/>
      <c r="D73" s="285"/>
      <c r="E73" s="285"/>
      <c r="F73" s="285"/>
      <c r="G73" s="285"/>
      <c r="H73" s="285"/>
      <c r="I73" s="285"/>
      <c r="J73" s="285"/>
      <c r="K73" s="285"/>
      <c r="L73" s="285"/>
      <c r="M73" s="285"/>
    </row>
    <row r="74" spans="1:13" x14ac:dyDescent="0.2">
      <c r="A74" s="211"/>
      <c r="B74" s="211"/>
      <c r="C74" s="285"/>
      <c r="D74" s="285"/>
      <c r="E74" s="285"/>
      <c r="F74" s="285"/>
      <c r="G74" s="285"/>
      <c r="H74" s="285"/>
      <c r="I74" s="285"/>
      <c r="J74" s="285"/>
      <c r="K74" s="285"/>
      <c r="L74" s="285"/>
      <c r="M74" s="285"/>
    </row>
    <row r="75" spans="1:13" x14ac:dyDescent="0.2">
      <c r="A75" s="211"/>
      <c r="B75" s="211"/>
      <c r="C75" s="285"/>
      <c r="D75" s="285"/>
      <c r="E75" s="285"/>
      <c r="F75" s="285"/>
      <c r="G75" s="285"/>
      <c r="H75" s="285"/>
      <c r="I75" s="285"/>
      <c r="J75" s="285"/>
      <c r="K75" s="285"/>
      <c r="L75" s="285"/>
      <c r="M75" s="285"/>
    </row>
    <row r="76" spans="1:13" x14ac:dyDescent="0.2">
      <c r="A76" s="211"/>
      <c r="B76" s="211"/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5"/>
    </row>
    <row r="77" spans="1:13" x14ac:dyDescent="0.2">
      <c r="A77" s="211"/>
      <c r="B77" s="211"/>
      <c r="C77" s="285"/>
      <c r="D77" s="285"/>
      <c r="E77" s="285"/>
      <c r="F77" s="285"/>
      <c r="G77" s="285"/>
      <c r="H77" s="285"/>
      <c r="I77" s="285"/>
      <c r="J77" s="285"/>
      <c r="K77" s="285"/>
      <c r="L77" s="285"/>
      <c r="M77" s="285"/>
    </row>
    <row r="78" spans="1:13" x14ac:dyDescent="0.2">
      <c r="A78" s="211"/>
      <c r="B78" s="211"/>
      <c r="C78" s="285"/>
      <c r="D78" s="285"/>
      <c r="E78" s="285"/>
      <c r="F78" s="285"/>
      <c r="G78" s="285"/>
      <c r="H78" s="285"/>
      <c r="I78" s="285"/>
      <c r="J78" s="285"/>
      <c r="K78" s="285"/>
      <c r="L78" s="285"/>
      <c r="M78" s="285"/>
    </row>
    <row r="79" spans="1:13" x14ac:dyDescent="0.2">
      <c r="A79" s="211"/>
      <c r="B79" s="211"/>
      <c r="C79" s="285"/>
      <c r="D79" s="285"/>
      <c r="E79" s="285"/>
      <c r="F79" s="285"/>
      <c r="G79" s="285"/>
      <c r="H79" s="285"/>
      <c r="I79" s="285"/>
      <c r="J79" s="285"/>
      <c r="K79" s="285"/>
      <c r="L79" s="285"/>
      <c r="M79" s="285"/>
    </row>
    <row r="80" spans="1:13" x14ac:dyDescent="0.2">
      <c r="A80" s="211"/>
      <c r="B80" s="211"/>
      <c r="C80" s="285"/>
      <c r="D80" s="285"/>
      <c r="E80" s="285"/>
      <c r="F80" s="285"/>
      <c r="G80" s="285"/>
      <c r="H80" s="285"/>
      <c r="I80" s="285"/>
      <c r="J80" s="285"/>
      <c r="K80" s="285"/>
      <c r="L80" s="285"/>
      <c r="M80" s="285"/>
    </row>
    <row r="81" spans="1:13" x14ac:dyDescent="0.2">
      <c r="A81" s="211"/>
      <c r="B81" s="211"/>
      <c r="C81" s="285"/>
      <c r="D81" s="285"/>
      <c r="E81" s="285"/>
      <c r="F81" s="285"/>
      <c r="G81" s="285"/>
      <c r="H81" s="285"/>
      <c r="I81" s="285"/>
      <c r="J81" s="285"/>
      <c r="K81" s="285"/>
      <c r="L81" s="285"/>
      <c r="M81" s="285"/>
    </row>
    <row r="82" spans="1:13" x14ac:dyDescent="0.2">
      <c r="A82" s="211"/>
      <c r="B82" s="211"/>
      <c r="C82" s="285"/>
      <c r="D82" s="285"/>
      <c r="E82" s="285"/>
      <c r="F82" s="285"/>
      <c r="G82" s="285"/>
      <c r="H82" s="285"/>
      <c r="I82" s="285"/>
      <c r="J82" s="285"/>
      <c r="K82" s="285"/>
      <c r="L82" s="285"/>
      <c r="M82" s="285"/>
    </row>
    <row r="83" spans="1:13" x14ac:dyDescent="0.2">
      <c r="A83" s="211"/>
      <c r="B83" s="211"/>
      <c r="C83" s="285"/>
      <c r="D83" s="285"/>
      <c r="E83" s="285"/>
      <c r="F83" s="285"/>
      <c r="G83" s="285"/>
      <c r="H83" s="285"/>
      <c r="I83" s="285"/>
      <c r="J83" s="285"/>
      <c r="K83" s="285"/>
      <c r="L83" s="285"/>
      <c r="M83" s="285"/>
    </row>
    <row r="84" spans="1:13" x14ac:dyDescent="0.2">
      <c r="A84" s="211"/>
      <c r="B84" s="211"/>
      <c r="C84" s="285"/>
      <c r="D84" s="285"/>
      <c r="E84" s="285"/>
      <c r="F84" s="285"/>
      <c r="G84" s="285"/>
      <c r="H84" s="285"/>
      <c r="I84" s="285"/>
      <c r="J84" s="285"/>
      <c r="K84" s="285"/>
      <c r="L84" s="285"/>
      <c r="M84" s="285"/>
    </row>
    <row r="85" spans="1:13" x14ac:dyDescent="0.2">
      <c r="A85" s="211"/>
      <c r="B85" s="211"/>
      <c r="C85" s="285"/>
      <c r="D85" s="285"/>
      <c r="E85" s="285"/>
      <c r="F85" s="285"/>
      <c r="G85" s="285"/>
      <c r="H85" s="285"/>
      <c r="I85" s="285"/>
      <c r="J85" s="285"/>
      <c r="K85" s="285"/>
      <c r="L85" s="285"/>
      <c r="M85" s="285"/>
    </row>
    <row r="86" spans="1:13" x14ac:dyDescent="0.2">
      <c r="A86" s="211"/>
      <c r="B86" s="211"/>
      <c r="C86" s="285"/>
      <c r="D86" s="285"/>
      <c r="E86" s="285"/>
      <c r="F86" s="285"/>
      <c r="G86" s="285"/>
      <c r="H86" s="285"/>
      <c r="I86" s="285"/>
      <c r="J86" s="285"/>
      <c r="K86" s="285"/>
      <c r="L86" s="285"/>
      <c r="M86" s="285"/>
    </row>
    <row r="87" spans="1:13" x14ac:dyDescent="0.2">
      <c r="A87" s="211"/>
      <c r="B87" s="211"/>
      <c r="C87" s="285"/>
      <c r="D87" s="285"/>
      <c r="E87" s="285"/>
      <c r="F87" s="285"/>
      <c r="G87" s="285"/>
      <c r="H87" s="285"/>
      <c r="I87" s="285"/>
      <c r="J87" s="285"/>
      <c r="K87" s="285"/>
      <c r="L87" s="285"/>
      <c r="M87" s="285"/>
    </row>
    <row r="88" spans="1:13" x14ac:dyDescent="0.2">
      <c r="A88" s="211"/>
      <c r="B88" s="211"/>
      <c r="C88" s="285"/>
      <c r="D88" s="285"/>
      <c r="E88" s="285"/>
      <c r="F88" s="285"/>
      <c r="G88" s="285"/>
      <c r="H88" s="285"/>
      <c r="I88" s="285"/>
      <c r="J88" s="285"/>
      <c r="K88" s="285"/>
      <c r="L88" s="285"/>
      <c r="M88" s="285"/>
    </row>
    <row r="89" spans="1:13" x14ac:dyDescent="0.2">
      <c r="A89" s="211"/>
      <c r="B89" s="211"/>
      <c r="C89" s="285"/>
      <c r="D89" s="285"/>
      <c r="E89" s="285"/>
      <c r="F89" s="285"/>
      <c r="G89" s="285"/>
      <c r="H89" s="285"/>
      <c r="I89" s="285"/>
      <c r="J89" s="285"/>
      <c r="K89" s="285"/>
      <c r="L89" s="285"/>
      <c r="M89" s="285"/>
    </row>
    <row r="90" spans="1:13" x14ac:dyDescent="0.2">
      <c r="A90" s="211"/>
      <c r="B90" s="211"/>
      <c r="C90" s="285"/>
      <c r="D90" s="285"/>
      <c r="E90" s="285"/>
      <c r="F90" s="285"/>
      <c r="G90" s="285"/>
      <c r="H90" s="285"/>
      <c r="I90" s="285"/>
      <c r="J90" s="285"/>
      <c r="K90" s="285"/>
      <c r="L90" s="285"/>
      <c r="M90" s="285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C4:M4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2015-10-14T17:25:04Z</cp:lastPrinted>
  <dcterms:created xsi:type="dcterms:W3CDTF">1997-12-04T19:04:30Z</dcterms:created>
  <dcterms:modified xsi:type="dcterms:W3CDTF">2015-11-30T13:30:53Z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