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5200" windowHeight="121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205" i="1" l="1"/>
  <c r="H204" i="1"/>
  <c r="G204" i="1"/>
  <c r="F204" i="1"/>
  <c r="K204" i="1"/>
  <c r="I204" i="1"/>
  <c r="G206" i="1"/>
  <c r="D9" i="13"/>
  <c r="D11" i="13" l="1"/>
  <c r="F57" i="1" l="1"/>
  <c r="H48" i="1"/>
  <c r="H523" i="1"/>
  <c r="H521" i="1"/>
  <c r="H541" i="1"/>
  <c r="H526" i="1"/>
  <c r="H198" i="1" l="1"/>
  <c r="H197" i="1"/>
  <c r="H234" i="1"/>
  <c r="H233" i="1"/>
  <c r="H604" i="1" l="1"/>
  <c r="F198" i="1"/>
  <c r="B21" i="12"/>
  <c r="H208" i="1"/>
  <c r="H592" i="1" l="1"/>
  <c r="H594" i="1" l="1"/>
  <c r="H595" i="1" l="1"/>
  <c r="F368" i="1"/>
  <c r="F367" i="1"/>
  <c r="H358" i="1"/>
  <c r="G459" i="1" l="1"/>
  <c r="F459" i="1"/>
  <c r="H415" i="1" l="1"/>
  <c r="H389" i="1"/>
  <c r="G389" i="1"/>
  <c r="H282" i="1" l="1"/>
  <c r="G282" i="1"/>
  <c r="H200" i="1"/>
  <c r="I197" i="1"/>
  <c r="H155" i="1"/>
  <c r="G440" i="1"/>
  <c r="F50" i="1"/>
  <c r="J179" i="1" l="1"/>
  <c r="F110" i="1"/>
  <c r="G97" i="1"/>
  <c r="C19" i="12" l="1"/>
  <c r="C20" i="12"/>
  <c r="C21" i="12"/>
  <c r="B20" i="12"/>
  <c r="B19" i="12"/>
  <c r="B12" i="12"/>
  <c r="B10" i="12"/>
  <c r="F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D50" i="2" s="1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I662" i="1" s="1"/>
  <c r="L226" i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F661" i="1" s="1"/>
  <c r="L359" i="1"/>
  <c r="D127" i="2" s="1"/>
  <c r="D128" i="2" s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28" i="1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C29" i="10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79" i="1"/>
  <c r="F94" i="1"/>
  <c r="C58" i="2" s="1"/>
  <c r="F111" i="1"/>
  <c r="G111" i="1"/>
  <c r="G112" i="1" s="1"/>
  <c r="H79" i="1"/>
  <c r="H94" i="1"/>
  <c r="H112" i="1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G147" i="1"/>
  <c r="D85" i="2" s="1"/>
  <c r="G162" i="1"/>
  <c r="H147" i="1"/>
  <c r="H162" i="1"/>
  <c r="H169" i="1" s="1"/>
  <c r="I147" i="1"/>
  <c r="I169" i="1" s="1"/>
  <c r="I162" i="1"/>
  <c r="L250" i="1"/>
  <c r="L332" i="1"/>
  <c r="L254" i="1"/>
  <c r="L268" i="1"/>
  <c r="L269" i="1"/>
  <c r="L349" i="1"/>
  <c r="L350" i="1"/>
  <c r="E143" i="2" s="1"/>
  <c r="I665" i="1"/>
  <c r="I670" i="1"/>
  <c r="L229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K549" i="1" s="1"/>
  <c r="L522" i="1"/>
  <c r="F550" i="1" s="1"/>
  <c r="L523" i="1"/>
  <c r="F551" i="1" s="1"/>
  <c r="K551" i="1" s="1"/>
  <c r="L526" i="1"/>
  <c r="G549" i="1" s="1"/>
  <c r="L527" i="1"/>
  <c r="G550" i="1" s="1"/>
  <c r="G552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D18" i="2" s="1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F56" i="2"/>
  <c r="C57" i="2"/>
  <c r="E57" i="2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C91" i="2" s="1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E113" i="2"/>
  <c r="E114" i="2"/>
  <c r="D115" i="2"/>
  <c r="F115" i="2"/>
  <c r="G115" i="2"/>
  <c r="E118" i="2"/>
  <c r="E120" i="2"/>
  <c r="E121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F192" i="1" s="1"/>
  <c r="I177" i="1"/>
  <c r="F183" i="1"/>
  <c r="G183" i="1"/>
  <c r="H183" i="1"/>
  <c r="I183" i="1"/>
  <c r="J183" i="1"/>
  <c r="J192" i="1" s="1"/>
  <c r="F188" i="1"/>
  <c r="G188" i="1"/>
  <c r="G192" i="1" s="1"/>
  <c r="H188" i="1"/>
  <c r="I188" i="1"/>
  <c r="F211" i="1"/>
  <c r="F257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J645" i="1" s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F461" i="1" s="1"/>
  <c r="H639" i="1" s="1"/>
  <c r="G460" i="1"/>
  <c r="H460" i="1"/>
  <c r="G461" i="1"/>
  <c r="H640" i="1" s="1"/>
  <c r="H461" i="1"/>
  <c r="H641" i="1" s="1"/>
  <c r="F470" i="1"/>
  <c r="G470" i="1"/>
  <c r="H470" i="1"/>
  <c r="I470" i="1"/>
  <c r="J470" i="1"/>
  <c r="F474" i="1"/>
  <c r="G474" i="1"/>
  <c r="H474" i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J545" i="1" s="1"/>
  <c r="K524" i="1"/>
  <c r="K545" i="1" s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J571" i="1" s="1"/>
  <c r="K565" i="1"/>
  <c r="L567" i="1"/>
  <c r="L570" i="1" s="1"/>
  <c r="L568" i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1" i="1"/>
  <c r="J641" i="1" s="1"/>
  <c r="G643" i="1"/>
  <c r="J643" i="1" s="1"/>
  <c r="H643" i="1"/>
  <c r="G644" i="1"/>
  <c r="G645" i="1"/>
  <c r="G650" i="1"/>
  <c r="G651" i="1"/>
  <c r="G652" i="1"/>
  <c r="H652" i="1"/>
  <c r="G653" i="1"/>
  <c r="H653" i="1"/>
  <c r="G654" i="1"/>
  <c r="H654" i="1"/>
  <c r="H655" i="1"/>
  <c r="C26" i="10"/>
  <c r="L351" i="1"/>
  <c r="D18" i="13"/>
  <c r="C18" i="13" s="1"/>
  <c r="D7" i="13"/>
  <c r="C7" i="13" s="1"/>
  <c r="D17" i="13"/>
  <c r="C17" i="13" s="1"/>
  <c r="F78" i="2"/>
  <c r="F81" i="2" s="1"/>
  <c r="F18" i="2"/>
  <c r="E103" i="2"/>
  <c r="E62" i="2"/>
  <c r="E63" i="2" s="1"/>
  <c r="G62" i="2"/>
  <c r="D19" i="13"/>
  <c r="C19" i="13" s="1"/>
  <c r="E78" i="2"/>
  <c r="E81" i="2" s="1"/>
  <c r="L433" i="1"/>
  <c r="J476" i="1"/>
  <c r="H626" i="1" s="1"/>
  <c r="F476" i="1"/>
  <c r="H622" i="1" s="1"/>
  <c r="J622" i="1" s="1"/>
  <c r="F169" i="1"/>
  <c r="F571" i="1"/>
  <c r="G22" i="2"/>
  <c r="H552" i="1"/>
  <c r="J651" i="1"/>
  <c r="H571" i="1"/>
  <c r="H192" i="1"/>
  <c r="L309" i="1"/>
  <c r="E16" i="13"/>
  <c r="J636" i="1"/>
  <c r="L565" i="1"/>
  <c r="D12" i="13" l="1"/>
  <c r="C12" i="13" s="1"/>
  <c r="E8" i="13"/>
  <c r="C8" i="13" s="1"/>
  <c r="F552" i="1"/>
  <c r="H545" i="1"/>
  <c r="I545" i="1"/>
  <c r="G161" i="2"/>
  <c r="G164" i="2"/>
  <c r="K503" i="1"/>
  <c r="G156" i="2"/>
  <c r="C12" i="10"/>
  <c r="C11" i="10"/>
  <c r="L247" i="1"/>
  <c r="H660" i="1" s="1"/>
  <c r="K605" i="1"/>
  <c r="G648" i="1" s="1"/>
  <c r="G649" i="1"/>
  <c r="H257" i="1"/>
  <c r="H271" i="1" s="1"/>
  <c r="J649" i="1"/>
  <c r="K598" i="1"/>
  <c r="G647" i="1" s="1"/>
  <c r="I369" i="1"/>
  <c r="H634" i="1" s="1"/>
  <c r="H476" i="1"/>
  <c r="H624" i="1" s="1"/>
  <c r="E115" i="2"/>
  <c r="L290" i="1"/>
  <c r="H661" i="1"/>
  <c r="G476" i="1"/>
  <c r="H623" i="1" s="1"/>
  <c r="J623" i="1" s="1"/>
  <c r="L419" i="1"/>
  <c r="L434" i="1" s="1"/>
  <c r="G638" i="1" s="1"/>
  <c r="J638" i="1" s="1"/>
  <c r="L393" i="1"/>
  <c r="C138" i="2" s="1"/>
  <c r="L401" i="1"/>
  <c r="C139" i="2" s="1"/>
  <c r="C16" i="10"/>
  <c r="E119" i="2"/>
  <c r="E128" i="2" s="1"/>
  <c r="J655" i="1"/>
  <c r="C25" i="10"/>
  <c r="H25" i="13"/>
  <c r="C25" i="13"/>
  <c r="H33" i="13"/>
  <c r="K271" i="1"/>
  <c r="C131" i="2"/>
  <c r="D14" i="13"/>
  <c r="C14" i="13" s="1"/>
  <c r="E13" i="13"/>
  <c r="C13" i="13" s="1"/>
  <c r="J647" i="1"/>
  <c r="H647" i="1"/>
  <c r="C21" i="10"/>
  <c r="C124" i="2"/>
  <c r="C18" i="10"/>
  <c r="C17" i="10"/>
  <c r="C120" i="2"/>
  <c r="C19" i="10"/>
  <c r="C122" i="2"/>
  <c r="C56" i="2"/>
  <c r="C35" i="10"/>
  <c r="C36" i="10" s="1"/>
  <c r="D91" i="2"/>
  <c r="C81" i="2"/>
  <c r="C118" i="2"/>
  <c r="A13" i="12"/>
  <c r="C10" i="10"/>
  <c r="C109" i="2"/>
  <c r="D5" i="13"/>
  <c r="C5" i="13" s="1"/>
  <c r="A40" i="12"/>
  <c r="J640" i="1"/>
  <c r="J639" i="1"/>
  <c r="H52" i="1"/>
  <c r="H619" i="1" s="1"/>
  <c r="J619" i="1" s="1"/>
  <c r="J617" i="1"/>
  <c r="C18" i="2"/>
  <c r="J634" i="1"/>
  <c r="C16" i="13"/>
  <c r="F22" i="13"/>
  <c r="C22" i="13" s="1"/>
  <c r="K550" i="1"/>
  <c r="K552" i="1" s="1"/>
  <c r="D29" i="13"/>
  <c r="C29" i="13" s="1"/>
  <c r="G624" i="1"/>
  <c r="J624" i="1" s="1"/>
  <c r="L534" i="1"/>
  <c r="K500" i="1"/>
  <c r="I460" i="1"/>
  <c r="I452" i="1"/>
  <c r="I446" i="1"/>
  <c r="G642" i="1" s="1"/>
  <c r="F271" i="1"/>
  <c r="D145" i="2"/>
  <c r="C123" i="2"/>
  <c r="C121" i="2"/>
  <c r="C119" i="2"/>
  <c r="C112" i="2"/>
  <c r="C110" i="2"/>
  <c r="F85" i="2"/>
  <c r="F91" i="2" s="1"/>
  <c r="G661" i="1"/>
  <c r="L211" i="1"/>
  <c r="C20" i="10"/>
  <c r="L362" i="1"/>
  <c r="G635" i="1" s="1"/>
  <c r="J635" i="1" s="1"/>
  <c r="C62" i="2"/>
  <c r="D6" i="13"/>
  <c r="C6" i="13" s="1"/>
  <c r="D15" i="13"/>
  <c r="C15" i="13" s="1"/>
  <c r="L544" i="1"/>
  <c r="L524" i="1"/>
  <c r="J338" i="1"/>
  <c r="J352" i="1" s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G50" i="2" s="1"/>
  <c r="G51" i="2" s="1"/>
  <c r="J51" i="1"/>
  <c r="G16" i="2"/>
  <c r="J19" i="1"/>
  <c r="G621" i="1" s="1"/>
  <c r="D31" i="13"/>
  <c r="C31" i="13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I663" i="1"/>
  <c r="C63" i="2" l="1"/>
  <c r="C104" i="2" s="1"/>
  <c r="L257" i="1"/>
  <c r="L271" i="1" s="1"/>
  <c r="G632" i="1" s="1"/>
  <c r="J632" i="1" s="1"/>
  <c r="C115" i="2"/>
  <c r="H648" i="1"/>
  <c r="J648" i="1" s="1"/>
  <c r="I661" i="1"/>
  <c r="H664" i="1"/>
  <c r="H667" i="1" s="1"/>
  <c r="C141" i="2"/>
  <c r="C144" i="2" s="1"/>
  <c r="E145" i="2"/>
  <c r="F33" i="13"/>
  <c r="E33" i="13"/>
  <c r="D35" i="13" s="1"/>
  <c r="C128" i="2"/>
  <c r="G667" i="1"/>
  <c r="C27" i="10"/>
  <c r="C28" i="10" s="1"/>
  <c r="D19" i="10" s="1"/>
  <c r="I461" i="1"/>
  <c r="H642" i="1" s="1"/>
  <c r="J642" i="1" s="1"/>
  <c r="L545" i="1"/>
  <c r="F660" i="1"/>
  <c r="L408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C145" i="2"/>
  <c r="D10" i="10"/>
  <c r="D24" i="10"/>
  <c r="D18" i="10"/>
  <c r="D23" i="10"/>
  <c r="C30" i="10"/>
  <c r="D21" i="10"/>
  <c r="D26" i="10"/>
  <c r="D12" i="10"/>
  <c r="D27" i="10"/>
  <c r="D11" i="10"/>
  <c r="D22" i="10"/>
  <c r="D13" i="10"/>
  <c r="D17" i="10"/>
  <c r="D16" i="10"/>
  <c r="D20" i="10"/>
  <c r="D15" i="10"/>
  <c r="D25" i="10"/>
  <c r="F664" i="1"/>
  <c r="I660" i="1"/>
  <c r="I664" i="1" s="1"/>
  <c r="I672" i="1" s="1"/>
  <c r="C7" i="10" s="1"/>
  <c r="G637" i="1"/>
  <c r="J637" i="1" s="1"/>
  <c r="H646" i="1"/>
  <c r="J646" i="1" s="1"/>
  <c r="C41" i="10"/>
  <c r="D38" i="10" s="1"/>
  <c r="D28" i="10" l="1"/>
  <c r="H656" i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<sst xmlns="http://schemas.openxmlformats.org/spreadsheetml/2006/main" count="3958" uniqueCount="915">
  <si>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</si>
  <si>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</si>
  <si>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</si>
  <si>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</si>
  <si>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</si>
  <si>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</si>
  <si>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</si>
  <si>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</si>
  <si>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</si>
  <si>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</si>
  <si>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</si>
  <si>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</si>
  <si>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</si>
  <si>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</si>
  <si>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</si>
  <si>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</si>
  <si>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</si>
  <si>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</si>
  <si>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</si>
  <si>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</si>
  <si>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</si>
  <si>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</si>
  <si>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</si>
  <si>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</si>
  <si>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</si>
  <si>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</si>
  <si>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</si>
  <si>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</si>
  <si>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</si>
  <si>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</si>
  <si>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</si>
  <si>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</si>
  <si>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</si>
  <si>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</si>
  <si>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</si>
  <si>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</si>
  <si>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</si>
  <si>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</si>
  <si>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</si>
  <si>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</si>
  <si>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</si>
  <si>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</si>
  <si>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</si>
  <si>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</si>
  <si>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</si>
  <si>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</si>
  <si>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</si>
  <si>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</si>
  <si>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</si>
  <si>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</si>
  <si>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</si>
  <si>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</si>
  <si>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</si>
  <si>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</si>
  <si>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</si>
  <si>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</si>
  <si>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</si>
  <si>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</si>
  <si>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</si>
  <si>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</si>
  <si>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</si>
  <si>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</si>
  <si>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</si>
  <si>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</si>
  <si>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</si>
  <si>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</si>
  <si>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</si>
  <si>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</si>
  <si>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</si>
  <si>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</si>
  <si>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</si>
  <si>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</si>
  <si>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</si>
  <si>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</si>
  <si>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</si>
  <si>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</si>
  <si>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</si>
  <si>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</si>
  <si>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</si>
  <si>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</si>
  <si>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</si>
  <si>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</si>
  <si>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</si>
  <si>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</si>
  <si>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</si>
  <si>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</si>
  <si>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</si>
  <si>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</si>
  <si>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</si>
  <si>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</si>
  <si>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</si>
  <si>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</si>
  <si>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</si>
  <si>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</si>
  <si>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</si>
  <si>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</si>
  <si>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</si>
  <si>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</si>
  <si>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</si>
  <si>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</si>
  <si>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</si>
  <si>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</si>
  <si>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</si>
  <si>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</si>
  <si>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</si>
  <si>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</si>
  <si>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</si>
  <si>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</si>
  <si>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</si>
  <si>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</si>
  <si>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</si>
  <si>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</si>
  <si>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</si>
  <si>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</si>
  <si>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</si>
  <si>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</si>
  <si>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</si>
  <si>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</si>
  <si>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</si>
  <si>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</si>
  <si>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</si>
  <si>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</si>
  <si>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</si>
  <si>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</si>
  <si>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</si>
  <si>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</si>
  <si>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</si>
  <si>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</si>
  <si>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</si>
  <si>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</si>
  <si>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</si>
  <si>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</si>
  <si>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</si>
  <si>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</si>
  <si>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</si>
  <si>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</si>
  <si>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</si>
  <si>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</si>
  <si>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</si>
  <si>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</si>
  <si>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</si>
  <si>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</si>
  <si>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</si>
  <si>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</si>
  <si>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</si>
  <si>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</si>
  <si>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</si>
  <si>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</si>
  <si>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</si>
  <si>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</si>
  <si>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</si>
  <si>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</si>
  <si>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</si>
  <si>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</si>
  <si>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</si>
  <si>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</si>
  <si>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</si>
  <si>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</si>
  <si>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</si>
  <si>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</si>
  <si>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</si>
  <si>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</si>
  <si>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</si>
  <si>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</si>
  <si>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</si>
  <si>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</si>
  <si>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</si>
  <si>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</si>
  <si>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</si>
  <si>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</si>
  <si>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</si>
  <si>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</si>
  <si>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</si>
  <si>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</si>
  <si>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</si>
  <si>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</si>
  <si>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</si>
  <si>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</si>
  <si>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</si>
  <si>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</si>
  <si>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</si>
  <si>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</si>
  <si>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</si>
  <si>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</si>
  <si>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</si>
  <si>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</si>
  <si>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</si>
  <si>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</si>
  <si>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</si>
  <si>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</si>
  <si>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</si>
  <si>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</si>
  <si>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</si>
  <si>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</si>
  <si>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</si>
  <si>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</si>
  <si>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</si>
  <si>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</si>
  <si>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</si>
  <si>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</si>
  <si>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</si>
  <si>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</si>
  <si>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</si>
  <si>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</si>
  <si>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</si>
  <si>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</si>
  <si>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</si>
  <si>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</si>
  <si>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</si>
  <si>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</si>
  <si>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</si>
  <si>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</si>
  <si>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</si>
  <si>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</si>
  <si>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</si>
  <si>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</si>
  <si>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</si>
  <si>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</si>
  <si>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</si>
  <si>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</si>
  <si>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</si>
  <si>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</si>
  <si>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</si>
  <si>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</si>
  <si>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</si>
  <si>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</si>
  <si>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</si>
  <si>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</si>
  <si>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</si>
  <si>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</si>
  <si>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</si>
  <si>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</si>
  <si>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</si>
  <si>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</si>
  <si>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</si>
  <si>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</si>
  <si>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</si>
  <si>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</si>
  <si>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</si>
  <si>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</si>
  <si>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</si>
  <si>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</si>
  <si>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</si>
  <si>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</si>
  <si>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</si>
  <si>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</si>
  <si>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</si>
  <si>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</si>
  <si>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</si>
  <si>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</si>
  <si>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</si>
  <si>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</si>
  <si>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</si>
  <si>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</si>
  <si>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</si>
  <si>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</si>
  <si>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</si>
  <si>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</si>
  <si>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</si>
  <si>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</si>
  <si>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</si>
  <si>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</si>
  <si>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</si>
  <si>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</si>
  <si>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</si>
  <si>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</si>
  <si>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</si>
  <si>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</si>
  <si>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</si>
  <si>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</si>
  <si>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</si>
  <si>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</si>
  <si>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</si>
  <si>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</si>
  <si>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</si>
  <si>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</si>
  <si>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</si>
  <si>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</si>
  <si>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</si>
  <si>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</si>
  <si>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</si>
  <si>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</si>
  <si>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</si>
  <si>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</si>
  <si>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</si>
  <si>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</si>
  <si>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</si>
  <si>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</si>
  <si>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</si>
  <si>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</si>
  <si>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</si>
  <si>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</si>
  <si>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</si>
  <si>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</si>
  <si>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</si>
  <si>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</si>
  <si>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</si>
  <si>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</si>
  <si>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</si>
  <si>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</si>
  <si>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</si>
  <si>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</si>
  <si>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</si>
  <si>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</si>
  <si>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</si>
  <si>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</si>
  <si>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</si>
  <si>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</si>
  <si>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</si>
  <si>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</si>
  <si>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</si>
  <si>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</si>
  <si>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</si>
  <si>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</si>
  <si>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</si>
  <si>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</si>
  <si>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</si>
  <si>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</si>
  <si>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</si>
  <si>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</si>
  <si>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</si>
  <si>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</si>
  <si>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</si>
  <si>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</si>
  <si>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</si>
  <si>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</si>
  <si>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</si>
  <si>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</si>
  <si>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</si>
  <si>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</si>
  <si>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</si>
  <si>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</si>
  <si>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</si>
  <si>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</si>
  <si>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</si>
  <si>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</si>
  <si>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</si>
  <si>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</si>
  <si>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</si>
  <si>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</si>
  <si>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</si>
  <si>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</si>
  <si>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</si>
  <si>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</si>
  <si>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</si>
  <si>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</si>
  <si>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</si>
  <si>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</si>
  <si>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</si>
  <si>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</si>
  <si>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</si>
  <si>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</si>
  <si>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</si>
  <si>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</si>
  <si>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</si>
  <si>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</si>
  <si>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</si>
  <si>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</si>
  <si>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</si>
  <si>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</si>
  <si>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</si>
  <si>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</si>
  <si>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</si>
  <si>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</si>
  <si>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</si>
  <si>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</si>
  <si>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</si>
  <si>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</si>
  <si>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</si>
  <si>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</si>
  <si>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</si>
  <si>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</si>
  <si>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</si>
  <si>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</si>
  <si>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</si>
  <si>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</si>
  <si>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</si>
  <si>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</si>
  <si>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</si>
  <si>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</si>
  <si>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</si>
  <si>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</si>
  <si>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</si>
  <si>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</si>
  <si>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</si>
  <si>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</si>
  <si>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</si>
  <si>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</si>
  <si>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</si>
  <si>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</si>
  <si>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</si>
  <si>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</si>
  <si>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</si>
  <si>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</si>
  <si>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</si>
  <si>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</si>
  <si>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</si>
  <si>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</si>
  <si>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</si>
  <si>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</si>
  <si>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</si>
  <si>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</si>
  <si>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</si>
  <si>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</si>
  <si>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</si>
  <si>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</si>
  <si>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</si>
  <si>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</si>
  <si>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</si>
  <si>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</si>
  <si>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</si>
  <si>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</si>
  <si>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</si>
  <si>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</si>
  <si>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</si>
  <si>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</si>
  <si>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</si>
  <si>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</si>
  <si>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</si>
  <si>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</si>
  <si>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</si>
  <si>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</si>
  <si>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</si>
  <si>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</si>
  <si>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</si>
  <si>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</si>
  <si>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</si>
  <si>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</si>
  <si>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</si>
  <si>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</si>
  <si>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</si>
  <si>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</si>
  <si>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</si>
  <si>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</si>
  <si>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</si>
  <si>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</si>
  <si>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</si>
  <si>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</si>
  <si>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</si>
  <si>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</si>
  <si>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</si>
  <si>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</si>
  <si>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</si>
  <si>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</si>
  <si>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</si>
  <si>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</si>
  <si>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</si>
  <si>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</si>
  <si>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</si>
  <si>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</si>
  <si>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</si>
  <si>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</si>
  <si>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</si>
  <si>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</si>
  <si>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</si>
  <si>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</si>
  <si>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</si>
  <si>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</si>
  <si>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</si>
  <si>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</si>
  <si>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</si>
  <si>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</si>
  <si>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</si>
  <si>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</si>
  <si>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</si>
  <si>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</si>
  <si>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</si>
  <si>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</si>
  <si>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</si>
  <si>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</si>
  <si>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</si>
  <si>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</si>
  <si>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</si>
  <si>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</si>
  <si>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</si>
  <si>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</si>
  <si>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</si>
  <si>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</si>
  <si>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</si>
  <si>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</si>
  <si>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</si>
  <si>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</si>
  <si>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</si>
  <si>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</si>
  <si>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</si>
  <si>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</si>
  <si>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</si>
  <si>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</si>
  <si>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</si>
  <si>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</si>
  <si>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</si>
  <si>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</si>
  <si>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</si>
  <si>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</si>
  <si>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</si>
  <si>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</si>
  <si>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</si>
  <si>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</si>
  <si>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</si>
  <si>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</si>
  <si>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</si>
  <si>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</si>
  <si>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</si>
  <si>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</si>
  <si>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</si>
  <si>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</si>
  <si>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</si>
  <si>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</si>
  <si>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</si>
  <si>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</si>
  <si>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</si>
  <si>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</si>
  <si>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</si>
  <si>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</si>
  <si>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</si>
  <si>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</si>
  <si>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</si>
  <si>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</si>
  <si>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</si>
  <si>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</si>
  <si>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</si>
  <si>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</si>
  <si>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</si>
  <si>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</si>
  <si>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</si>
  <si>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</si>
  <si>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</si>
  <si>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</si>
  <si>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</si>
  <si>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</si>
  <si>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</si>
  <si>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</si>
  <si>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</si>
  <si>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</si>
  <si>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</si>
  <si>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</si>
  <si>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</si>
  <si>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</si>
  <si>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</si>
  <si>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</si>
  <si>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</si>
  <si>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</si>
  <si>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</si>
  <si>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</si>
  <si>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</si>
  <si>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</si>
  <si>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</si>
  <si>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</si>
  <si>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</si>
  <si>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</si>
  <si>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</si>
  <si>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</si>
  <si>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</si>
  <si>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</si>
  <si>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</si>
  <si>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</si>
  <si>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</si>
  <si>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</si>
  <si>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</si>
  <si>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</si>
  <si>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</si>
  <si>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</si>
  <si>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</si>
  <si>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</si>
  <si>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</si>
  <si>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</si>
  <si>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</si>
  <si>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</si>
  <si>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</si>
  <si>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</si>
  <si>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</si>
  <si>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</si>
  <si>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</si>
  <si>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</si>
  <si>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</si>
  <si>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</si>
  <si>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</si>
  <si>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</si>
  <si>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</si>
  <si>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</si>
  <si>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</si>
  <si>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</si>
  <si>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</si>
  <si>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</si>
  <si>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</si>
  <si>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</si>
  <si>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</si>
  <si>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</si>
  <si>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</si>
  <si>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</si>
  <si>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</si>
  <si>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</si>
  <si>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</si>
  <si>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</si>
  <si>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</si>
  <si>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</si>
  <si>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</si>
  <si>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</si>
  <si>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</si>
  <si>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</si>
  <si>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</si>
  <si>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</si>
  <si>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</si>
  <si>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</si>
  <si>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</si>
  <si>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</si>
  <si>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</si>
  <si>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</si>
  <si>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</si>
  <si>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</si>
  <si>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</si>
  <si>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</si>
  <si>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</si>
  <si>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</si>
  <si>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</si>
  <si>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</si>
  <si>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</si>
  <si>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</si>
  <si>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</si>
  <si>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</si>
  <si>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</si>
  <si>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</si>
  <si>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</si>
  <si>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</si>
  <si>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</si>
  <si>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</si>
  <si>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</si>
  <si>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</si>
  <si>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</si>
  <si>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</si>
  <si>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</si>
  <si>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</si>
  <si>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</si>
  <si>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</si>
  <si>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</si>
  <si>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</si>
  <si>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</si>
  <si>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</si>
  <si>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</si>
  <si>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</si>
  <si>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</si>
  <si>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</si>
  <si>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</si>
  <si>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</si>
  <si>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</si>
  <si>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</si>
  <si>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</si>
  <si>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</si>
  <si>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</si>
  <si>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</si>
  <si>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</si>
  <si>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</si>
  <si>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</si>
  <si>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</si>
  <si>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</si>
  <si>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</si>
  <si>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</si>
  <si>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</si>
  <si>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</si>
  <si>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</si>
  <si>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</si>
  <si>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</si>
  <si>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</si>
  <si>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</si>
  <si>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</si>
  <si>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</si>
  <si>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</si>
  <si>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</si>
  <si>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</si>
  <si>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</si>
  <si>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</si>
  <si>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</si>
  <si>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</si>
  <si>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</si>
  <si>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</si>
  <si>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</si>
  <si>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</si>
  <si>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</si>
  <si>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</si>
  <si>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</si>
  <si>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</si>
  <si>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</si>
  <si>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</si>
  <si>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</si>
  <si>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</si>
  <si>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</si>
  <si>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</si>
  <si>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</si>
  <si>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</si>
  <si>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</si>
  <si>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</si>
  <si>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</si>
  <si>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</si>
  <si>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</si>
  <si>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</si>
  <si>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</si>
  <si>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</si>
  <si>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</si>
  <si>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</si>
  <si>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</si>
  <si>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</si>
  <si>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</si>
  <si>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</si>
  <si>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</si>
  <si>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</si>
  <si>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</si>
  <si>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</si>
  <si>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</si>
  <si>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</si>
  <si>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</si>
  <si>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</si>
  <si>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</si>
  <si>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</si>
  <si>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</si>
  <si>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</si>
  <si>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</si>
  <si>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</si>
  <si>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</si>
  <si>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</si>
  <si>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</si>
  <si>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</si>
  <si>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</si>
  <si>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</si>
  <si>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</si>
  <si>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</si>
  <si>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</si>
  <si>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</si>
  <si>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</si>
  <si>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</si>
  <si>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</si>
  <si>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</si>
  <si>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</si>
  <si>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</si>
  <si>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</si>
  <si>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</si>
  <si>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</si>
  <si>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</si>
  <si>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</si>
  <si>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</si>
  <si>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</si>
  <si>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</si>
  <si>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</si>
  <si>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</si>
  <si>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</si>
  <si>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</si>
  <si>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</si>
  <si>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</si>
  <si>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</si>
  <si>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</si>
  <si>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</si>
  <si>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</si>
  <si>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</si>
  <si>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</si>
  <si>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</si>
  <si>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</si>
  <si>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</si>
  <si>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</si>
  <si>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</si>
  <si>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</si>
  <si>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</si>
  <si>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</si>
  <si>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</si>
  <si>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</si>
  <si>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</si>
  <si>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</si>
  <si>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</si>
  <si>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</si>
  <si>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</si>
  <si>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</si>
  <si>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</si>
  <si>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</si>
  <si>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</si>
  <si>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</si>
  <si>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</si>
  <si>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</si>
  <si>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</si>
  <si>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</si>
  <si>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</si>
  <si>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</si>
  <si>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</si>
  <si>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</si>
  <si>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</si>
  <si>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</si>
  <si>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</si>
  <si>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</si>
  <si>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</si>
  <si>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</si>
  <si>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</si>
  <si>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</si>
  <si>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</si>
  <si>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</si>
  <si>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</si>
  <si>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</si>
  <si>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</si>
  <si>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</si>
  <si>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</si>
  <si>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</si>
  <si>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</si>
  <si>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</si>
  <si>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</si>
  <si>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</si>
  <si>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</si>
  <si>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</si>
  <si>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</si>
  <si>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</si>
  <si>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</si>
  <si>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</si>
  <si>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</si>
  <si>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</si>
  <si>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</si>
  <si>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</si>
  <si>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</si>
  <si>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</si>
  <si>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</si>
  <si>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</si>
  <si>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</si>
  <si>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</si>
  <si>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</si>
  <si>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</si>
  <si>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</si>
  <si>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</si>
  <si>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</si>
  <si>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</si>
  <si>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</si>
  <si>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</si>
  <si>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</si>
  <si>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</si>
  <si>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</si>
  <si>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</si>
  <si>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</si>
  <si>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</si>
  <si>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</si>
  <si>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</si>
  <si>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</si>
  <si>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</si>
  <si>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</si>
  <si>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</si>
  <si>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</si>
  <si>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</si>
  <si>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</si>
  <si>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</si>
  <si>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</si>
  <si>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</si>
  <si>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</si>
  <si>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</si>
  <si>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</si>
  <si>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</si>
  <si>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</si>
  <si>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</si>
  <si>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</si>
  <si>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</si>
  <si>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</si>
  <si>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</si>
  <si>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</si>
  <si>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</si>
  <si>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</si>
  <si>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</si>
  <si>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</si>
  <si>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</si>
  <si>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</si>
  <si>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</si>
  <si>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</si>
  <si>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</si>
  <si>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</si>
  <si>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</si>
  <si>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</si>
  <si>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</si>
  <si>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</si>
  <si>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</si>
  <si>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</si>
  <si>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</si>
  <si>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</si>
  <si>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</si>
  <si>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</si>
  <si>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</si>
  <si>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</si>
  <si>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</si>
  <si>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</si>
  <si>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</si>
  <si>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</si>
  <si>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</si>
  <si>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</si>
  <si>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</si>
  <si>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</si>
  <si>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</si>
  <si>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</si>
  <si>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</si>
  <si>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</si>
  <si>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</si>
  <si>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</si>
  <si>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</si>
  <si>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</si>
  <si>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</si>
  <si>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</si>
  <si>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</si>
  <si>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</si>
  <si>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</si>
  <si>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</si>
  <si>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</si>
  <si>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</si>
  <si>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</si>
  <si>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</si>
  <si>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</si>
  <si>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</si>
  <si>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</si>
  <si>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</si>
  <si>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</si>
  <si>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</si>
  <si>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</si>
  <si>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</si>
  <si>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</si>
  <si>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07/14</t>
  </si>
  <si>
    <t>07/16</t>
  </si>
  <si>
    <t>07/09</t>
  </si>
  <si>
    <t>Monroe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</si>
</sst>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90" zoomScaleNormal="90" workbookViewId="0">
      <pane xSplit="5" ySplit="3" topLeftCell="F625" activePane="bottomRight" state="frozen"/>
      <selection pane="topRight" activeCell="F1" sqref="F1"/>
      <selection pane="bottomLeft" activeCell="A4" sqref="A4"/>
      <selection pane="bottomRight" activeCell="L1" sqref="L1:L104857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/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362225.28+100.05+396.16</f>
        <v>362721.49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281285.34999999998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7325.65</v>
      </c>
      <c r="G12" s="18">
        <v>3653.08</v>
      </c>
      <c r="H12" s="18">
        <v>-10978.74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1430.78</v>
      </c>
      <c r="G14" s="18"/>
      <c r="H14" s="18">
        <v>11633.85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1600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373077.92000000004</v>
      </c>
      <c r="G19" s="41">
        <f>SUM(G9:G18)</f>
        <v>3653.08</v>
      </c>
      <c r="H19" s="41">
        <f>SUM(H9:H18)</f>
        <v>655.11000000000058</v>
      </c>
      <c r="I19" s="41">
        <f>SUM(I9:I18)</f>
        <v>0</v>
      </c>
      <c r="J19" s="41">
        <f>SUM(J9:J18)</f>
        <v>281285.34999999998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29495.79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39840.36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69336.149999999994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39790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3569.35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83.73</v>
      </c>
      <c r="H48" s="18">
        <f>-1291.18+1946.29</f>
        <v>655.1099999999999</v>
      </c>
      <c r="I48" s="18"/>
      <c r="J48" s="13">
        <f>SUM(I459)</f>
        <v>281285.34999999998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80099.66+183852.11</f>
        <v>263951.77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303741.77</v>
      </c>
      <c r="G51" s="41">
        <f>SUM(G35:G50)</f>
        <v>3653.08</v>
      </c>
      <c r="H51" s="41">
        <f>SUM(H35:H50)</f>
        <v>655.1099999999999</v>
      </c>
      <c r="I51" s="41">
        <f>SUM(I35:I50)</f>
        <v>0</v>
      </c>
      <c r="J51" s="41">
        <f>SUM(J35:J50)</f>
        <v>281285.34999999998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373077.92000000004</v>
      </c>
      <c r="G52" s="41">
        <f>G51+G32</f>
        <v>3653.08</v>
      </c>
      <c r="H52" s="41">
        <f>H51+H32</f>
        <v>655.1099999999999</v>
      </c>
      <c r="I52" s="41">
        <f>I51+I32</f>
        <v>0</v>
      </c>
      <c r="J52" s="41">
        <f>J51+J32</f>
        <v>281285.34999999998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2266073+103207</f>
        <v>2369280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2369280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254.49</v>
      </c>
      <c r="G96" s="18"/>
      <c r="H96" s="18"/>
      <c r="I96" s="18"/>
      <c r="J96" s="18">
        <v>34.85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16545.5+254.25</f>
        <v>16799.75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37563.81+486+11845.16</f>
        <v>49894.97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50149.46</v>
      </c>
      <c r="G111" s="41">
        <f>SUM(G96:G110)</f>
        <v>16799.75</v>
      </c>
      <c r="H111" s="41">
        <f>SUM(H96:H110)</f>
        <v>0</v>
      </c>
      <c r="I111" s="41">
        <f>SUM(I96:I110)</f>
        <v>0</v>
      </c>
      <c r="J111" s="41">
        <f>SUM(J96:J110)</f>
        <v>34.85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2419429.46</v>
      </c>
      <c r="G112" s="41">
        <f>G60+G111</f>
        <v>16799.75</v>
      </c>
      <c r="H112" s="41">
        <f>H60+H79+H94+H111</f>
        <v>0</v>
      </c>
      <c r="I112" s="41">
        <f>I60+I111</f>
        <v>0</v>
      </c>
      <c r="J112" s="41">
        <f>J60+J111</f>
        <v>34.85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315753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174129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489882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34334.050000000003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537.04999999999995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34334.050000000003</v>
      </c>
      <c r="G136" s="41">
        <f>SUM(G123:G135)</f>
        <v>537.04999999999995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524216.05</v>
      </c>
      <c r="G140" s="41">
        <f>G121+SUM(G136:G137)</f>
        <v>537.04999999999995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12754.34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10224.52+24675.43+1904.78</f>
        <v>36804.729999999996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18124.22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2688.41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2688.41</v>
      </c>
      <c r="G162" s="41">
        <f>SUM(G150:G161)</f>
        <v>18124.22</v>
      </c>
      <c r="H162" s="41">
        <f>SUM(H150:H161)</f>
        <v>49559.069999999992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184.3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2872.71</v>
      </c>
      <c r="G169" s="41">
        <f>G147+G162+SUM(G163:G168)</f>
        <v>18124.22</v>
      </c>
      <c r="H169" s="41">
        <f>H147+H162+SUM(H163:H168)</f>
        <v>49559.069999999992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76800</v>
      </c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76800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48207</v>
      </c>
      <c r="H179" s="18"/>
      <c r="I179" s="18"/>
      <c r="J179" s="18">
        <f>15000+5000+25000+10000</f>
        <v>55000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48207</v>
      </c>
      <c r="H183" s="41">
        <f>SUM(H179:H182)</f>
        <v>0</v>
      </c>
      <c r="I183" s="41">
        <f>SUM(I179:I182)</f>
        <v>0</v>
      </c>
      <c r="J183" s="41">
        <f>SUM(J179:J182)</f>
        <v>55000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76800</v>
      </c>
      <c r="G192" s="41">
        <f>G183+SUM(G188:G191)</f>
        <v>48207</v>
      </c>
      <c r="H192" s="41">
        <f>+H183+SUM(H188:H191)</f>
        <v>0</v>
      </c>
      <c r="I192" s="41">
        <f>I177+I183+SUM(I188:I191)</f>
        <v>0</v>
      </c>
      <c r="J192" s="41">
        <f>J183</f>
        <v>55000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3023318.2199999997</v>
      </c>
      <c r="G193" s="47">
        <f>G112+G140+G169+G192</f>
        <v>83668.02</v>
      </c>
      <c r="H193" s="47">
        <f>H112+H140+H169+H192</f>
        <v>49559.069999999992</v>
      </c>
      <c r="I193" s="47">
        <f>I112+I140+I169+I192</f>
        <v>0</v>
      </c>
      <c r="J193" s="47">
        <f>J112+J140+J192</f>
        <v>55034.85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431521.47</v>
      </c>
      <c r="G197" s="18">
        <v>216212.49</v>
      </c>
      <c r="H197" s="18">
        <f>15534.71+834.59</f>
        <v>16369.3</v>
      </c>
      <c r="I197" s="18">
        <f>27788.77</f>
        <v>27788.77</v>
      </c>
      <c r="J197" s="18">
        <v>21408.82</v>
      </c>
      <c r="K197" s="18">
        <v>620.25</v>
      </c>
      <c r="L197" s="19">
        <f>SUM(F197:K197)</f>
        <v>713921.1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167640.07-7070</f>
        <v>160570.07</v>
      </c>
      <c r="G198" s="18">
        <v>80523.259999999995</v>
      </c>
      <c r="H198" s="18">
        <f>15130.05+341838.4-1888.54-309184.15</f>
        <v>45895.760000000009</v>
      </c>
      <c r="I198" s="18">
        <v>3976.42</v>
      </c>
      <c r="J198" s="18">
        <v>1184.02</v>
      </c>
      <c r="K198" s="18">
        <v>1071.97</v>
      </c>
      <c r="L198" s="19">
        <f>SUM(F198:K198)</f>
        <v>293221.5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4020</v>
      </c>
      <c r="G200" s="18">
        <v>356.08</v>
      </c>
      <c r="H200" s="18">
        <f>1680+116</f>
        <v>1796</v>
      </c>
      <c r="I200" s="18">
        <v>913.43</v>
      </c>
      <c r="J200" s="18">
        <v>993.73</v>
      </c>
      <c r="K200" s="18">
        <v>800</v>
      </c>
      <c r="L200" s="19">
        <f>SUM(F200:K200)</f>
        <v>8879.24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21922.13</v>
      </c>
      <c r="G202" s="18">
        <v>1756.82</v>
      </c>
      <c r="H202" s="18">
        <v>79963.42</v>
      </c>
      <c r="I202" s="18">
        <v>1206.75</v>
      </c>
      <c r="J202" s="18">
        <v>78.260000000000005</v>
      </c>
      <c r="K202" s="18">
        <v>1913.72</v>
      </c>
      <c r="L202" s="19">
        <f t="shared" ref="L202:L208" si="0">SUM(F202:K202)</f>
        <v>106841.09999999999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22023.45</v>
      </c>
      <c r="G203" s="18">
        <v>18888.59</v>
      </c>
      <c r="H203" s="18">
        <v>4425.74</v>
      </c>
      <c r="I203" s="18">
        <v>2095.17</v>
      </c>
      <c r="J203" s="18"/>
      <c r="K203" s="18"/>
      <c r="L203" s="19">
        <f t="shared" si="0"/>
        <v>47432.95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69253.66-54691.63+4400+420+1950+320</f>
        <v>21652.030000000006</v>
      </c>
      <c r="G204" s="18">
        <f>32878.6-27543.41+421.62+32.13+149.22+24.48</f>
        <v>5962.6399999999985</v>
      </c>
      <c r="H204" s="18">
        <f>70446+2228.78+3651.85+736.89+57.1+889.15+7450+15787.1</f>
        <v>101246.87000000001</v>
      </c>
      <c r="I204" s="18">
        <f>2645.04+104.78</f>
        <v>2749.82</v>
      </c>
      <c r="J204" s="18"/>
      <c r="K204" s="18">
        <f>924+2739.85</f>
        <v>3663.85</v>
      </c>
      <c r="L204" s="19">
        <f t="shared" si="0"/>
        <v>135275.21000000002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120542.92</v>
      </c>
      <c r="G205" s="18">
        <v>48771.07</v>
      </c>
      <c r="H205" s="18">
        <v>23259.79</v>
      </c>
      <c r="I205" s="18">
        <f>11081.25+157.58</f>
        <v>11238.83</v>
      </c>
      <c r="J205" s="18">
        <v>851</v>
      </c>
      <c r="K205" s="18">
        <v>2326.5</v>
      </c>
      <c r="L205" s="19">
        <f t="shared" si="0"/>
        <v>206990.11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54691.63</v>
      </c>
      <c r="G206" s="18">
        <f>18420.14+72.28+3313.04+5737.95</f>
        <v>27543.41</v>
      </c>
      <c r="H206" s="18">
        <v>0</v>
      </c>
      <c r="I206" s="18">
        <v>0</v>
      </c>
      <c r="J206" s="18"/>
      <c r="K206" s="18">
        <v>0</v>
      </c>
      <c r="L206" s="19">
        <f t="shared" si="0"/>
        <v>82235.039999999994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30223.8</v>
      </c>
      <c r="G207" s="18">
        <v>4509.6400000000003</v>
      </c>
      <c r="H207" s="18">
        <v>49457</v>
      </c>
      <c r="I207" s="18">
        <v>40786.17</v>
      </c>
      <c r="J207" s="18"/>
      <c r="K207" s="18">
        <v>390</v>
      </c>
      <c r="L207" s="19">
        <f t="shared" si="0"/>
        <v>125366.61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83901.04-43635.33+1888.54+7070</f>
        <v>49224.249999999993</v>
      </c>
      <c r="I208" s="18"/>
      <c r="J208" s="18"/>
      <c r="K208" s="18"/>
      <c r="L208" s="19">
        <f t="shared" si="0"/>
        <v>49224.249999999993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867167.50000000012</v>
      </c>
      <c r="G211" s="41">
        <f t="shared" si="1"/>
        <v>404524.00000000006</v>
      </c>
      <c r="H211" s="41">
        <f t="shared" si="1"/>
        <v>371638.13</v>
      </c>
      <c r="I211" s="41">
        <f t="shared" si="1"/>
        <v>90755.36</v>
      </c>
      <c r="J211" s="41">
        <f t="shared" si="1"/>
        <v>24515.829999999998</v>
      </c>
      <c r="K211" s="41">
        <f t="shared" si="1"/>
        <v>10786.29</v>
      </c>
      <c r="L211" s="41">
        <f t="shared" si="1"/>
        <v>1769387.11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143194.68+346500</f>
        <v>489694.68</v>
      </c>
      <c r="I233" s="18"/>
      <c r="J233" s="18"/>
      <c r="K233" s="18"/>
      <c r="L233" s="19">
        <f>SUM(F233:K233)</f>
        <v>489694.68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14415.05+137869.1+156900</f>
        <v>309184.15000000002</v>
      </c>
      <c r="I234" s="18"/>
      <c r="J234" s="18"/>
      <c r="K234" s="18"/>
      <c r="L234" s="19">
        <f>SUM(F234:K234)</f>
        <v>309184.15000000002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7767.48</v>
      </c>
      <c r="I235" s="18"/>
      <c r="J235" s="18"/>
      <c r="K235" s="18"/>
      <c r="L235" s="19">
        <f>SUM(F235:K235)</f>
        <v>7767.48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43635.33</v>
      </c>
      <c r="I244" s="18"/>
      <c r="J244" s="18"/>
      <c r="K244" s="18"/>
      <c r="L244" s="19">
        <f t="shared" si="4"/>
        <v>43635.33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850281.64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850281.64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76800</v>
      </c>
      <c r="I255" s="18"/>
      <c r="J255" s="18"/>
      <c r="K255" s="18"/>
      <c r="L255" s="19">
        <f t="shared" si="6"/>
        <v>76800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76800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76800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867167.50000000012</v>
      </c>
      <c r="G257" s="41">
        <f t="shared" si="8"/>
        <v>404524.00000000006</v>
      </c>
      <c r="H257" s="41">
        <f t="shared" si="8"/>
        <v>1298719.77</v>
      </c>
      <c r="I257" s="41">
        <f t="shared" si="8"/>
        <v>90755.36</v>
      </c>
      <c r="J257" s="41">
        <f t="shared" si="8"/>
        <v>24515.829999999998</v>
      </c>
      <c r="K257" s="41">
        <f t="shared" si="8"/>
        <v>10786.29</v>
      </c>
      <c r="L257" s="41">
        <f t="shared" si="8"/>
        <v>2696468.75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36000</v>
      </c>
      <c r="L260" s="19">
        <f>SUM(F260:K260)</f>
        <v>36000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3790.36</v>
      </c>
      <c r="L261" s="19">
        <f>SUM(F261:K261)</f>
        <v>3790.36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48207</v>
      </c>
      <c r="L263" s="19">
        <f>SUM(F263:K263)</f>
        <v>48207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55000</v>
      </c>
      <c r="L266" s="19">
        <f t="shared" si="9"/>
        <v>55000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142997.35999999999</v>
      </c>
      <c r="L270" s="41">
        <f t="shared" si="9"/>
        <v>142997.35999999999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867167.50000000012</v>
      </c>
      <c r="G271" s="42">
        <f t="shared" si="11"/>
        <v>404524.00000000006</v>
      </c>
      <c r="H271" s="42">
        <f t="shared" si="11"/>
        <v>1298719.77</v>
      </c>
      <c r="I271" s="42">
        <f t="shared" si="11"/>
        <v>90755.36</v>
      </c>
      <c r="J271" s="42">
        <f t="shared" si="11"/>
        <v>24515.829999999998</v>
      </c>
      <c r="K271" s="42">
        <f t="shared" si="11"/>
        <v>153783.65</v>
      </c>
      <c r="L271" s="42">
        <f t="shared" si="11"/>
        <v>2839466.11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8755</v>
      </c>
      <c r="G276" s="18">
        <v>643.80999999999995</v>
      </c>
      <c r="H276" s="18"/>
      <c r="I276" s="18">
        <v>1220.24</v>
      </c>
      <c r="J276" s="18">
        <v>10194.52</v>
      </c>
      <c r="K276" s="18"/>
      <c r="L276" s="19">
        <f>SUM(F276:K276)</f>
        <v>20813.57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6318.17</v>
      </c>
      <c r="G277" s="18">
        <v>521.37</v>
      </c>
      <c r="H277" s="18">
        <v>521.24</v>
      </c>
      <c r="I277" s="18">
        <v>9753.16</v>
      </c>
      <c r="J277" s="18">
        <v>7382.05</v>
      </c>
      <c r="K277" s="18"/>
      <c r="L277" s="19">
        <f>SUM(F277:K277)</f>
        <v>24495.989999999998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f>559+1324</f>
        <v>1883</v>
      </c>
      <c r="H282" s="18">
        <f>179.44+240.78</f>
        <v>420.22</v>
      </c>
      <c r="I282" s="18"/>
      <c r="J282" s="18"/>
      <c r="K282" s="18"/>
      <c r="L282" s="19">
        <f t="shared" si="12"/>
        <v>2303.2200000000003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15073.17</v>
      </c>
      <c r="G290" s="42">
        <f t="shared" si="13"/>
        <v>3048.18</v>
      </c>
      <c r="H290" s="42">
        <f t="shared" si="13"/>
        <v>941.46</v>
      </c>
      <c r="I290" s="42">
        <f t="shared" si="13"/>
        <v>10973.4</v>
      </c>
      <c r="J290" s="42">
        <f t="shared" si="13"/>
        <v>17576.57</v>
      </c>
      <c r="K290" s="42">
        <f t="shared" si="13"/>
        <v>0</v>
      </c>
      <c r="L290" s="41">
        <f t="shared" si="13"/>
        <v>47612.78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15073.17</v>
      </c>
      <c r="G338" s="41">
        <f t="shared" si="20"/>
        <v>3048.18</v>
      </c>
      <c r="H338" s="41">
        <f t="shared" si="20"/>
        <v>941.46</v>
      </c>
      <c r="I338" s="41">
        <f t="shared" si="20"/>
        <v>10973.4</v>
      </c>
      <c r="J338" s="41">
        <f t="shared" si="20"/>
        <v>17576.57</v>
      </c>
      <c r="K338" s="41">
        <f t="shared" si="20"/>
        <v>0</v>
      </c>
      <c r="L338" s="41">
        <f t="shared" si="20"/>
        <v>47612.78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15073.17</v>
      </c>
      <c r="G352" s="41">
        <f>G338</f>
        <v>3048.18</v>
      </c>
      <c r="H352" s="41">
        <f>H338</f>
        <v>941.46</v>
      </c>
      <c r="I352" s="41">
        <f>I338</f>
        <v>10973.4</v>
      </c>
      <c r="J352" s="41">
        <f>J338</f>
        <v>17576.57</v>
      </c>
      <c r="K352" s="47">
        <f>K338+K351</f>
        <v>0</v>
      </c>
      <c r="L352" s="41">
        <f>L338+L351</f>
        <v>47612.78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29790.1</v>
      </c>
      <c r="G358" s="18">
        <v>23756.639999999999</v>
      </c>
      <c r="H358" s="18">
        <f>757+739.5</f>
        <v>1496.5</v>
      </c>
      <c r="I358" s="18">
        <v>27581.37</v>
      </c>
      <c r="J358" s="18">
        <v>959.68</v>
      </c>
      <c r="K358" s="18"/>
      <c r="L358" s="13">
        <f>SUM(F358:K358)</f>
        <v>83584.289999999994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29790.1</v>
      </c>
      <c r="G362" s="47">
        <f t="shared" si="22"/>
        <v>23756.639999999999</v>
      </c>
      <c r="H362" s="47">
        <f t="shared" si="22"/>
        <v>1496.5</v>
      </c>
      <c r="I362" s="47">
        <f t="shared" si="22"/>
        <v>27581.37</v>
      </c>
      <c r="J362" s="47">
        <f t="shared" si="22"/>
        <v>959.68</v>
      </c>
      <c r="K362" s="47">
        <f t="shared" si="22"/>
        <v>0</v>
      </c>
      <c r="L362" s="47">
        <f t="shared" si="22"/>
        <v>83584.289999999994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21154.71+2953.64</f>
        <v>24108.35</v>
      </c>
      <c r="G367" s="18"/>
      <c r="H367" s="18"/>
      <c r="I367" s="56">
        <f>SUM(F367:H367)</f>
        <v>24108.35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1500.06+1972.96</f>
        <v>3473.02</v>
      </c>
      <c r="G368" s="63"/>
      <c r="H368" s="63"/>
      <c r="I368" s="56">
        <f>SUM(F368:H368)</f>
        <v>3473.02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27581.37</v>
      </c>
      <c r="G369" s="47">
        <f>SUM(G367:G368)</f>
        <v>0</v>
      </c>
      <c r="H369" s="47">
        <f>SUM(H367:H368)</f>
        <v>0</v>
      </c>
      <c r="I369" s="47">
        <f>SUM(I367:I368)</f>
        <v>27581.37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f>15000+5000+25000</f>
        <v>45000</v>
      </c>
      <c r="H389" s="18">
        <f>5.23+1.91+1.65+0.43</f>
        <v>9.2200000000000006</v>
      </c>
      <c r="I389" s="18"/>
      <c r="J389" s="24" t="s">
        <v>289</v>
      </c>
      <c r="K389" s="24" t="s">
        <v>289</v>
      </c>
      <c r="L389" s="56">
        <f t="shared" si="25"/>
        <v>45009.22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45000</v>
      </c>
      <c r="H393" s="139">
        <f>SUM(H387:H392)</f>
        <v>9.2200000000000006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45009.22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10000</v>
      </c>
      <c r="H397" s="18">
        <v>16.29</v>
      </c>
      <c r="I397" s="18"/>
      <c r="J397" s="24" t="s">
        <v>289</v>
      </c>
      <c r="K397" s="24" t="s">
        <v>289</v>
      </c>
      <c r="L397" s="56">
        <f t="shared" si="26"/>
        <v>10016.290000000001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9.34</v>
      </c>
      <c r="I398" s="18"/>
      <c r="J398" s="24" t="s">
        <v>289</v>
      </c>
      <c r="K398" s="24" t="s">
        <v>289</v>
      </c>
      <c r="L398" s="56">
        <f t="shared" si="26"/>
        <v>9.34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</v>
      </c>
      <c r="H401" s="47">
        <f>SUM(H395:H400)</f>
        <v>25.63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10025.630000000001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55000</v>
      </c>
      <c r="H408" s="47">
        <f>H393+H401+H407</f>
        <v>34.85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55034.850000000006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>
        <f>25000+6980</f>
        <v>31980</v>
      </c>
      <c r="I415" s="18"/>
      <c r="J415" s="18"/>
      <c r="K415" s="18"/>
      <c r="L415" s="56">
        <f t="shared" si="27"/>
        <v>31980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31980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31980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31980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31980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70652.149999999994</v>
      </c>
      <c r="G440" s="18">
        <f>75602.02+135031.18</f>
        <v>210633.2</v>
      </c>
      <c r="H440" s="18"/>
      <c r="I440" s="56">
        <f t="shared" si="33"/>
        <v>281285.34999999998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70652.149999999994</v>
      </c>
      <c r="G446" s="13">
        <f>SUM(G439:G445)</f>
        <v>210633.2</v>
      </c>
      <c r="H446" s="13">
        <f>SUM(H439:H445)</f>
        <v>0</v>
      </c>
      <c r="I446" s="13">
        <f>SUM(I439:I445)</f>
        <v>281285.34999999998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57622.93+13029.22</f>
        <v>70652.149999999994</v>
      </c>
      <c r="G459" s="18">
        <f>75592.68+9.34+125014.89+10016.29</f>
        <v>210633.19999999998</v>
      </c>
      <c r="H459" s="18"/>
      <c r="I459" s="56">
        <f t="shared" si="34"/>
        <v>281285.34999999998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70652.149999999994</v>
      </c>
      <c r="G460" s="83">
        <f>SUM(G454:G459)</f>
        <v>210633.19999999998</v>
      </c>
      <c r="H460" s="83">
        <f>SUM(H454:H459)</f>
        <v>0</v>
      </c>
      <c r="I460" s="83">
        <f>SUM(I454:I459)</f>
        <v>281285.34999999998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70652.149999999994</v>
      </c>
      <c r="G461" s="42">
        <f>G452+G460</f>
        <v>210633.19999999998</v>
      </c>
      <c r="H461" s="42">
        <f>H452+H460</f>
        <v>0</v>
      </c>
      <c r="I461" s="42">
        <f>I452+I460</f>
        <v>281285.34999999998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119889.66</v>
      </c>
      <c r="G465" s="18">
        <v>3569.35</v>
      </c>
      <c r="H465" s="18">
        <v>-1291.18</v>
      </c>
      <c r="I465" s="18"/>
      <c r="J465" s="18">
        <v>258230.5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3023318.22</v>
      </c>
      <c r="G468" s="18">
        <v>83668.02</v>
      </c>
      <c r="H468" s="18">
        <v>49559.07</v>
      </c>
      <c r="I468" s="18"/>
      <c r="J468" s="18">
        <v>55034.85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3023318.22</v>
      </c>
      <c r="G470" s="53">
        <f>SUM(G468:G469)</f>
        <v>83668.02</v>
      </c>
      <c r="H470" s="53">
        <f>SUM(H468:H469)</f>
        <v>49559.07</v>
      </c>
      <c r="I470" s="53">
        <f>SUM(I468:I469)</f>
        <v>0</v>
      </c>
      <c r="J470" s="53">
        <f>SUM(J468:J469)</f>
        <v>55034.85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2839466.11</v>
      </c>
      <c r="G472" s="18">
        <v>83584.289999999994</v>
      </c>
      <c r="H472" s="18">
        <v>47612.78</v>
      </c>
      <c r="I472" s="18"/>
      <c r="J472" s="18">
        <v>31980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2839466.11</v>
      </c>
      <c r="G474" s="53">
        <f>SUM(G472:G473)</f>
        <v>83584.289999999994</v>
      </c>
      <c r="H474" s="53">
        <f>SUM(H472:H473)</f>
        <v>47612.78</v>
      </c>
      <c r="I474" s="53">
        <f>SUM(I472:I473)</f>
        <v>0</v>
      </c>
      <c r="J474" s="53">
        <f>SUM(J472:J473)</f>
        <v>31980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303741.77000000048</v>
      </c>
      <c r="G476" s="53">
        <f>(G465+G470)- G474</f>
        <v>3653.0800000000163</v>
      </c>
      <c r="H476" s="53">
        <f>(H465+H470)- H474</f>
        <v>655.11000000000058</v>
      </c>
      <c r="I476" s="53">
        <f>(I465+I470)- I474</f>
        <v>0</v>
      </c>
      <c r="J476" s="53">
        <f>(J465+J470)- J474</f>
        <v>281285.34999999998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>
        <v>2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 t="s">
        <v>911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911</v>
      </c>
      <c r="G492" s="155" t="s">
        <v>912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180000</v>
      </c>
      <c r="G493" s="18">
        <v>76800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3.5</v>
      </c>
      <c r="G494" s="18">
        <v>2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36000</v>
      </c>
      <c r="G495" s="18">
        <v>76800</v>
      </c>
      <c r="H495" s="18"/>
      <c r="I495" s="18"/>
      <c r="J495" s="18"/>
      <c r="K495" s="53">
        <f>SUM(F495:J495)</f>
        <v>112800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3790.36</v>
      </c>
      <c r="G496" s="18"/>
      <c r="H496" s="18"/>
      <c r="I496" s="18"/>
      <c r="J496" s="18"/>
      <c r="K496" s="53">
        <f t="shared" ref="K496:K503" si="35">SUM(F496:J496)</f>
        <v>3790.36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39790.36</v>
      </c>
      <c r="G497" s="18">
        <v>0</v>
      </c>
      <c r="H497" s="18"/>
      <c r="I497" s="18"/>
      <c r="J497" s="18"/>
      <c r="K497" s="53">
        <f t="shared" si="35"/>
        <v>39790.36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>
        <v>76800</v>
      </c>
      <c r="H498" s="204"/>
      <c r="I498" s="204"/>
      <c r="J498" s="204"/>
      <c r="K498" s="205">
        <f t="shared" si="35"/>
        <v>76800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>
        <v>2276.64</v>
      </c>
      <c r="H499" s="18"/>
      <c r="I499" s="18"/>
      <c r="J499" s="18"/>
      <c r="K499" s="53">
        <f t="shared" si="35"/>
        <v>2276.64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79076.639999999999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79076.639999999999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0</v>
      </c>
      <c r="G501" s="204">
        <v>38400</v>
      </c>
      <c r="H501" s="204"/>
      <c r="I501" s="204"/>
      <c r="J501" s="204"/>
      <c r="K501" s="205">
        <f t="shared" si="35"/>
        <v>38400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>
        <v>1506.54</v>
      </c>
      <c r="H502" s="18"/>
      <c r="I502" s="18"/>
      <c r="J502" s="18"/>
      <c r="K502" s="53">
        <f t="shared" si="35"/>
        <v>1506.54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39906.54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39906.54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166888.24</v>
      </c>
      <c r="G521" s="18">
        <v>81044.63</v>
      </c>
      <c r="H521" s="18">
        <f>715+341838.4-1888.54+521.24-137869.1-156900</f>
        <v>46417.000000000029</v>
      </c>
      <c r="I521" s="18">
        <v>13729.58</v>
      </c>
      <c r="J521" s="18">
        <v>8566.07</v>
      </c>
      <c r="K521" s="18">
        <v>1071.97</v>
      </c>
      <c r="L521" s="88">
        <f>SUM(F521:K521)</f>
        <v>317717.49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f>14415.05+137869.1+156900</f>
        <v>309184.15000000002</v>
      </c>
      <c r="I523" s="18"/>
      <c r="J523" s="18"/>
      <c r="K523" s="18"/>
      <c r="L523" s="88">
        <f>SUM(F523:K523)</f>
        <v>309184.15000000002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166888.24</v>
      </c>
      <c r="G524" s="108">
        <f t="shared" ref="G524:L524" si="36">SUM(G521:G523)</f>
        <v>81044.63</v>
      </c>
      <c r="H524" s="108">
        <f t="shared" si="36"/>
        <v>355601.15</v>
      </c>
      <c r="I524" s="108">
        <f t="shared" si="36"/>
        <v>13729.58</v>
      </c>
      <c r="J524" s="108">
        <f t="shared" si="36"/>
        <v>8566.07</v>
      </c>
      <c r="K524" s="108">
        <f t="shared" si="36"/>
        <v>1071.97</v>
      </c>
      <c r="L524" s="89">
        <f t="shared" si="36"/>
        <v>626901.64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25696+31246.5+3064.83+5701</f>
        <v>65708.33</v>
      </c>
      <c r="I526" s="18"/>
      <c r="J526" s="18"/>
      <c r="K526" s="18"/>
      <c r="L526" s="88">
        <f>SUM(F526:K526)</f>
        <v>65708.33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65708.33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65708.33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7070+1888.54</f>
        <v>8958.5400000000009</v>
      </c>
      <c r="I541" s="18"/>
      <c r="J541" s="18"/>
      <c r="K541" s="18"/>
      <c r="L541" s="88">
        <f>SUM(F541:K541)</f>
        <v>8958.5400000000009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8958.5400000000009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8958.5400000000009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166888.24</v>
      </c>
      <c r="G545" s="89">
        <f t="shared" ref="G545:L545" si="41">G524+G529+G534+G539+G544</f>
        <v>81044.63</v>
      </c>
      <c r="H545" s="89">
        <f t="shared" si="41"/>
        <v>430268.02</v>
      </c>
      <c r="I545" s="89">
        <f t="shared" si="41"/>
        <v>13729.58</v>
      </c>
      <c r="J545" s="89">
        <f t="shared" si="41"/>
        <v>8566.07</v>
      </c>
      <c r="K545" s="89">
        <f t="shared" si="41"/>
        <v>1071.97</v>
      </c>
      <c r="L545" s="89">
        <f t="shared" si="41"/>
        <v>701568.51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317717.49</v>
      </c>
      <c r="G549" s="87">
        <f>L526</f>
        <v>65708.33</v>
      </c>
      <c r="H549" s="87">
        <f>L531</f>
        <v>0</v>
      </c>
      <c r="I549" s="87">
        <f>L536</f>
        <v>0</v>
      </c>
      <c r="J549" s="87">
        <f>L541</f>
        <v>8958.5400000000009</v>
      </c>
      <c r="K549" s="87">
        <f>SUM(F549:J549)</f>
        <v>392384.36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309184.15000000002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309184.15000000002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626901.64</v>
      </c>
      <c r="G552" s="89">
        <f t="shared" si="42"/>
        <v>65708.33</v>
      </c>
      <c r="H552" s="89">
        <f t="shared" si="42"/>
        <v>0</v>
      </c>
      <c r="I552" s="89">
        <f t="shared" si="42"/>
        <v>0</v>
      </c>
      <c r="J552" s="89">
        <f t="shared" si="42"/>
        <v>8958.5400000000009</v>
      </c>
      <c r="K552" s="89">
        <f t="shared" si="42"/>
        <v>701568.51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143194.68</v>
      </c>
      <c r="I575" s="87">
        <f>SUM(F575:H575)</f>
        <v>143194.68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346500</v>
      </c>
      <c r="I576" s="87">
        <f t="shared" ref="I576:I587" si="47">SUM(F576:H576)</f>
        <v>346500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44352</v>
      </c>
      <c r="G579" s="18"/>
      <c r="H579" s="18">
        <v>137869.1</v>
      </c>
      <c r="I579" s="87">
        <f t="shared" si="47"/>
        <v>182221.1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156900</v>
      </c>
      <c r="I580" s="87">
        <f t="shared" si="47"/>
        <v>156900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7767.48</v>
      </c>
      <c r="I585" s="87">
        <f t="shared" si="47"/>
        <v>7767.48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35712.959999999999</v>
      </c>
      <c r="I591" s="18"/>
      <c r="J591" s="18">
        <v>43635.33</v>
      </c>
      <c r="K591" s="104">
        <f t="shared" ref="K591:K597" si="48">SUM(H591:J591)</f>
        <v>79348.290000000008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7070+1888.54</f>
        <v>8958.5400000000009</v>
      </c>
      <c r="I592" s="18"/>
      <c r="J592" s="18"/>
      <c r="K592" s="104">
        <f t="shared" si="48"/>
        <v>8958.5400000000009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f>1619+1641.75</f>
        <v>3260.75</v>
      </c>
      <c r="I594" s="18"/>
      <c r="J594" s="18"/>
      <c r="K594" s="104">
        <f t="shared" si="48"/>
        <v>3260.75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48+48+204+343.75+187.5+104.5+145.5+210.75</f>
        <v>1292</v>
      </c>
      <c r="I595" s="18"/>
      <c r="J595" s="18"/>
      <c r="K595" s="104">
        <f t="shared" si="48"/>
        <v>1292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49224.25</v>
      </c>
      <c r="I598" s="108">
        <f>SUM(I591:I597)</f>
        <v>0</v>
      </c>
      <c r="J598" s="108">
        <f>SUM(J591:J597)</f>
        <v>43635.33</v>
      </c>
      <c r="K598" s="108">
        <f>SUM(K591:K597)</f>
        <v>92859.580000000016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43052.08-959.68</f>
        <v>42092.4</v>
      </c>
      <c r="I604" s="18"/>
      <c r="J604" s="18"/>
      <c r="K604" s="104">
        <f>SUM(H604:J604)</f>
        <v>42092.4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42092.4</v>
      </c>
      <c r="I605" s="108">
        <f>SUM(I602:I604)</f>
        <v>0</v>
      </c>
      <c r="J605" s="108">
        <f>SUM(J602:J604)</f>
        <v>0</v>
      </c>
      <c r="K605" s="108">
        <f>SUM(K602:K604)</f>
        <v>42092.4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373077.92000000004</v>
      </c>
      <c r="H617" s="109">
        <f>SUM(F52)</f>
        <v>373077.92000000004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3653.08</v>
      </c>
      <c r="H618" s="109">
        <f>SUM(G52)</f>
        <v>3653.08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655.11000000000058</v>
      </c>
      <c r="H619" s="109">
        <f>SUM(H52)</f>
        <v>655.1099999999999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281285.34999999998</v>
      </c>
      <c r="H621" s="109">
        <f>SUM(J52)</f>
        <v>281285.34999999998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303741.77</v>
      </c>
      <c r="H622" s="109">
        <f>F476</f>
        <v>303741.77000000048</v>
      </c>
      <c r="I622" s="121" t="s">
        <v>101</v>
      </c>
      <c r="J622" s="109">
        <f t="shared" ref="J622:J655" si="50">G622-H622</f>
        <v>-4.6566128730773926E-10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3653.08</v>
      </c>
      <c r="H623" s="109">
        <f>G476</f>
        <v>3653.0800000000163</v>
      </c>
      <c r="I623" s="121" t="s">
        <v>102</v>
      </c>
      <c r="J623" s="109">
        <f t="shared" si="50"/>
        <v>-1.6370904631912708E-11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655.1099999999999</v>
      </c>
      <c r="H624" s="109">
        <f>H476</f>
        <v>655.11000000000058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281285.34999999998</v>
      </c>
      <c r="H626" s="109">
        <f>J476</f>
        <v>281285.34999999998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3023318.2199999997</v>
      </c>
      <c r="H627" s="104">
        <f>SUM(F468)</f>
        <v>3023318.22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83668.02</v>
      </c>
      <c r="H628" s="104">
        <f>SUM(G468)</f>
        <v>83668.02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49559.069999999992</v>
      </c>
      <c r="H629" s="104">
        <f>SUM(H468)</f>
        <v>49559.07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55034.85</v>
      </c>
      <c r="H631" s="104">
        <f>SUM(J468)</f>
        <v>55034.85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2839466.11</v>
      </c>
      <c r="H632" s="104">
        <f>SUM(F472)</f>
        <v>2839466.11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47612.78</v>
      </c>
      <c r="H633" s="104">
        <f>SUM(H472)</f>
        <v>47612.78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27581.37</v>
      </c>
      <c r="H634" s="104">
        <f>I369</f>
        <v>27581.37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83584.289999999994</v>
      </c>
      <c r="H635" s="104">
        <f>SUM(G472)</f>
        <v>83584.289999999994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55034.850000000006</v>
      </c>
      <c r="H637" s="164">
        <f>SUM(J468)</f>
        <v>55034.85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31980</v>
      </c>
      <c r="H638" s="164">
        <f>SUM(J472)</f>
        <v>31980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70652.149999999994</v>
      </c>
      <c r="H639" s="104">
        <f>SUM(F461)</f>
        <v>70652.149999999994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210633.2</v>
      </c>
      <c r="H640" s="104">
        <f>SUM(G461)</f>
        <v>210633.19999999998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281285.34999999998</v>
      </c>
      <c r="H642" s="104">
        <f>SUM(I461)</f>
        <v>281285.34999999998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34.85</v>
      </c>
      <c r="H644" s="104">
        <f>H408</f>
        <v>34.85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55000</v>
      </c>
      <c r="H645" s="104">
        <f>G408</f>
        <v>55000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55034.85</v>
      </c>
      <c r="H646" s="104">
        <f>L408</f>
        <v>55034.850000000006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92859.580000000016</v>
      </c>
      <c r="H647" s="104">
        <f>L208+L226+L244</f>
        <v>92859.579999999987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42092.4</v>
      </c>
      <c r="H648" s="104">
        <f>(J257+J338)-(J255+J336)</f>
        <v>42092.399999999994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49224.249999999993</v>
      </c>
      <c r="H649" s="104">
        <f>H598</f>
        <v>49224.25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43635.33</v>
      </c>
      <c r="H651" s="104">
        <f>J598</f>
        <v>43635.33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48207</v>
      </c>
      <c r="H652" s="104">
        <f>K263+K345</f>
        <v>48207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55000</v>
      </c>
      <c r="H655" s="104">
        <f>K266+K347</f>
        <v>55000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1900584.1800000002</v>
      </c>
      <c r="G660" s="19">
        <f>(L229+L309+L359)</f>
        <v>0</v>
      </c>
      <c r="H660" s="19">
        <f>(L247+L328+L360)</f>
        <v>850281.64</v>
      </c>
      <c r="I660" s="19">
        <f>SUM(F660:H660)</f>
        <v>2750865.8200000003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16799.75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16799.75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49224.249999999993</v>
      </c>
      <c r="G662" s="19">
        <f>(L226+L306)-(J226+J306)</f>
        <v>0</v>
      </c>
      <c r="H662" s="19">
        <f>(L244+L325)-(J244+J325)</f>
        <v>43635.33</v>
      </c>
      <c r="I662" s="19">
        <f>SUM(F662:H662)</f>
        <v>92859.579999999987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86444.4</v>
      </c>
      <c r="G663" s="199">
        <f>SUM(G575:G587)+SUM(I602:I604)+L612</f>
        <v>0</v>
      </c>
      <c r="H663" s="199">
        <f>SUM(H575:H587)+SUM(J602:J604)+L613</f>
        <v>792231.26</v>
      </c>
      <c r="I663" s="19">
        <f>SUM(F663:H663)</f>
        <v>878675.66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1748115.7800000003</v>
      </c>
      <c r="G664" s="19">
        <f>G660-SUM(G661:G663)</f>
        <v>0</v>
      </c>
      <c r="H664" s="19">
        <f>H660-SUM(H661:H663)</f>
        <v>14415.050000000047</v>
      </c>
      <c r="I664" s="19">
        <f>I660-SUM(I661:I663)</f>
        <v>1762530.8300000003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71.709999999999994</v>
      </c>
      <c r="G665" s="248"/>
      <c r="H665" s="248"/>
      <c r="I665" s="19">
        <f>SUM(F665:H665)</f>
        <v>71.709999999999994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24377.57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24578.59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-14415.05</v>
      </c>
      <c r="I669" s="19">
        <f>SUM(F669:H669)</f>
        <v>-14415.05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24377.57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24377.57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21" sqref="B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Monroe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440276.47</v>
      </c>
      <c r="C9" s="229">
        <f>'DOE25'!G197+'DOE25'!G215+'DOE25'!G233+'DOE25'!G276+'DOE25'!G295+'DOE25'!G314</f>
        <v>216856.3</v>
      </c>
    </row>
    <row r="10" spans="1:3" x14ac:dyDescent="0.2">
      <c r="A10" t="s">
        <v>779</v>
      </c>
      <c r="B10" s="240">
        <f>373068.92+21621.08+5145.84+4286.96+8415</f>
        <v>412537.80000000005</v>
      </c>
      <c r="C10" s="240">
        <v>214734.3</v>
      </c>
    </row>
    <row r="11" spans="1:3" x14ac:dyDescent="0.2">
      <c r="A11" t="s">
        <v>780</v>
      </c>
      <c r="B11" s="240">
        <v>0</v>
      </c>
      <c r="C11" s="240">
        <v>0</v>
      </c>
    </row>
    <row r="12" spans="1:3" x14ac:dyDescent="0.2">
      <c r="A12" t="s">
        <v>781</v>
      </c>
      <c r="B12" s="240">
        <f>180+27218.67+340</f>
        <v>27738.67</v>
      </c>
      <c r="C12" s="240">
        <v>2122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440276.47000000003</v>
      </c>
      <c r="C13" s="231">
        <f>SUM(C10:C12)</f>
        <v>216856.3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166888.24000000002</v>
      </c>
      <c r="C18" s="229">
        <f>'DOE25'!G198+'DOE25'!G216+'DOE25'!G234+'DOE25'!G277+'DOE25'!G296+'DOE25'!G315</f>
        <v>81044.62999999999</v>
      </c>
    </row>
    <row r="19" spans="1:3" x14ac:dyDescent="0.2">
      <c r="A19" t="s">
        <v>779</v>
      </c>
      <c r="B19" s="240">
        <f>91322.92+2130.3</f>
        <v>93453.22</v>
      </c>
      <c r="C19" s="240">
        <f>192.48+9482.46+12650.29+770+781.95+397+1250+38+6479.48</f>
        <v>32041.66</v>
      </c>
    </row>
    <row r="20" spans="1:3" x14ac:dyDescent="0.2">
      <c r="A20" t="s">
        <v>780</v>
      </c>
      <c r="B20" s="240">
        <f>59042.63+1440.96+6318.17</f>
        <v>66801.759999999995</v>
      </c>
      <c r="C20" s="240">
        <f>210.68+32704.05+9559.3+483.37+4632.27</f>
        <v>47589.67</v>
      </c>
    </row>
    <row r="21" spans="1:3" x14ac:dyDescent="0.2">
      <c r="A21" t="s">
        <v>781</v>
      </c>
      <c r="B21" s="240">
        <f>6633.26</f>
        <v>6633.26</v>
      </c>
      <c r="C21" s="240">
        <f>365+1048.3</f>
        <v>1413.3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166888.24</v>
      </c>
      <c r="C22" s="231">
        <f>SUM(C19:C21)</f>
        <v>81044.63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4020</v>
      </c>
      <c r="C36" s="235">
        <f>'DOE25'!G200+'DOE25'!G218+'DOE25'!G236+'DOE25'!G279+'DOE25'!G298+'DOE25'!G317</f>
        <v>356.08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4020</v>
      </c>
      <c r="C39" s="240">
        <v>356.08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4020</v>
      </c>
      <c r="C40" s="231">
        <f>SUM(C37:C39)</f>
        <v>356.08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4" activePane="bottomLeft" state="frozen"/>
      <selection activeCell="F46" sqref="F46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Monroe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1822668.15</v>
      </c>
      <c r="D5" s="20">
        <f>SUM('DOE25'!L197:L200)+SUM('DOE25'!L215:L218)+SUM('DOE25'!L233:L236)-F5-G5</f>
        <v>1796589.3599999999</v>
      </c>
      <c r="E5" s="243"/>
      <c r="F5" s="255">
        <f>SUM('DOE25'!J197:J200)+SUM('DOE25'!J215:J218)+SUM('DOE25'!J233:J236)</f>
        <v>23586.57</v>
      </c>
      <c r="G5" s="53">
        <f>SUM('DOE25'!K197:K200)+SUM('DOE25'!K215:K218)+SUM('DOE25'!K233:K236)</f>
        <v>2492.2200000000003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106841.09999999999</v>
      </c>
      <c r="D6" s="20">
        <f>'DOE25'!L202+'DOE25'!L220+'DOE25'!L238-F6-G6</f>
        <v>104849.12</v>
      </c>
      <c r="E6" s="243"/>
      <c r="F6" s="255">
        <f>'DOE25'!J202+'DOE25'!J220+'DOE25'!J238</f>
        <v>78.260000000000005</v>
      </c>
      <c r="G6" s="53">
        <f>'DOE25'!K202+'DOE25'!K220+'DOE25'!K238</f>
        <v>1913.72</v>
      </c>
      <c r="H6" s="259"/>
    </row>
    <row r="7" spans="1:9" x14ac:dyDescent="0.2">
      <c r="A7" s="32">
        <v>2200</v>
      </c>
      <c r="B7" t="s">
        <v>834</v>
      </c>
      <c r="C7" s="245">
        <f t="shared" si="0"/>
        <v>47432.95</v>
      </c>
      <c r="D7" s="20">
        <f>'DOE25'!L203+'DOE25'!L221+'DOE25'!L239-F7-G7</f>
        <v>47432.95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3663.85</v>
      </c>
      <c r="D8" s="243"/>
      <c r="E8" s="20">
        <f>'DOE25'!L204+'DOE25'!L222+'DOE25'!L240-F8-G8-D9-D11</f>
        <v>0</v>
      </c>
      <c r="F8" s="255">
        <f>'DOE25'!J204+'DOE25'!J222+'DOE25'!J240</f>
        <v>0</v>
      </c>
      <c r="G8" s="53">
        <f>'DOE25'!K204+'DOE25'!K222+'DOE25'!K240</f>
        <v>3663.85</v>
      </c>
      <c r="H8" s="259"/>
    </row>
    <row r="9" spans="1:9" x14ac:dyDescent="0.2">
      <c r="A9" s="32">
        <v>2310</v>
      </c>
      <c r="B9" t="s">
        <v>818</v>
      </c>
      <c r="C9" s="245">
        <f t="shared" si="0"/>
        <v>36394.32</v>
      </c>
      <c r="D9" s="244">
        <f>39134.17-2739.85</f>
        <v>36394.32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7450</v>
      </c>
      <c r="D10" s="243"/>
      <c r="E10" s="244">
        <v>7450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95217.04</v>
      </c>
      <c r="D11" s="244">
        <f>96141.04-924</f>
        <v>95217.04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206990.11</v>
      </c>
      <c r="D12" s="20">
        <f>'DOE25'!L205+'DOE25'!L223+'DOE25'!L241-F12-G12</f>
        <v>203812.61</v>
      </c>
      <c r="E12" s="243"/>
      <c r="F12" s="255">
        <f>'DOE25'!J205+'DOE25'!J223+'DOE25'!J241</f>
        <v>851</v>
      </c>
      <c r="G12" s="53">
        <f>'DOE25'!K205+'DOE25'!K223+'DOE25'!K241</f>
        <v>2326.5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82235.039999999994</v>
      </c>
      <c r="D13" s="243"/>
      <c r="E13" s="20">
        <f>'DOE25'!L206+'DOE25'!L224+'DOE25'!L242-F13-G13</f>
        <v>82235.039999999994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125366.61</v>
      </c>
      <c r="D14" s="20">
        <f>'DOE25'!L207+'DOE25'!L225+'DOE25'!L243-F14-G14</f>
        <v>124976.61</v>
      </c>
      <c r="E14" s="243"/>
      <c r="F14" s="255">
        <f>'DOE25'!J207+'DOE25'!J225+'DOE25'!J243</f>
        <v>0</v>
      </c>
      <c r="G14" s="53">
        <f>'DOE25'!K207+'DOE25'!K225+'DOE25'!K243</f>
        <v>390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92859.579999999987</v>
      </c>
      <c r="D15" s="20">
        <f>'DOE25'!L208+'DOE25'!L226+'DOE25'!L244-F15-G15</f>
        <v>92859.579999999987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76800</v>
      </c>
      <c r="D22" s="243"/>
      <c r="E22" s="243"/>
      <c r="F22" s="255">
        <f>'DOE25'!L255+'DOE25'!L336</f>
        <v>76800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39790.36</v>
      </c>
      <c r="D25" s="243"/>
      <c r="E25" s="243"/>
      <c r="F25" s="258"/>
      <c r="G25" s="256"/>
      <c r="H25" s="257">
        <f>'DOE25'!L260+'DOE25'!L261+'DOE25'!L341+'DOE25'!L342</f>
        <v>39790.36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59475.939999999995</v>
      </c>
      <c r="D29" s="20">
        <f>'DOE25'!L358+'DOE25'!L359+'DOE25'!L360-'DOE25'!I367-F29-G29</f>
        <v>58516.259999999995</v>
      </c>
      <c r="E29" s="243"/>
      <c r="F29" s="255">
        <f>'DOE25'!J358+'DOE25'!J359+'DOE25'!J360</f>
        <v>959.68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47612.78</v>
      </c>
      <c r="D31" s="20">
        <f>'DOE25'!L290+'DOE25'!L309+'DOE25'!L328+'DOE25'!L333+'DOE25'!L334+'DOE25'!L335-F31-G31</f>
        <v>30036.21</v>
      </c>
      <c r="E31" s="243"/>
      <c r="F31" s="255">
        <f>'DOE25'!J290+'DOE25'!J309+'DOE25'!J328+'DOE25'!J333+'DOE25'!J334+'DOE25'!J335</f>
        <v>17576.57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2590684.0599999996</v>
      </c>
      <c r="E33" s="246">
        <f>SUM(E5:E31)</f>
        <v>89685.04</v>
      </c>
      <c r="F33" s="246">
        <f>SUM(F5:F31)</f>
        <v>119852.07999999999</v>
      </c>
      <c r="G33" s="246">
        <f>SUM(G5:G31)</f>
        <v>10786.29</v>
      </c>
      <c r="H33" s="246">
        <f>SUM(H5:H31)</f>
        <v>39790.36</v>
      </c>
    </row>
    <row r="35" spans="2:8" ht="12" thickBot="1" x14ac:dyDescent="0.25">
      <c r="B35" s="253" t="s">
        <v>847</v>
      </c>
      <c r="D35" s="254">
        <f>E33</f>
        <v>89685.04</v>
      </c>
      <c r="E35" s="249"/>
    </row>
    <row r="36" spans="2:8" ht="12" thickTop="1" x14ac:dyDescent="0.2">
      <c r="B36" t="s">
        <v>815</v>
      </c>
      <c r="D36" s="20">
        <f>D33</f>
        <v>2590684.0599999996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8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Monroe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362721.49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281285.34999999998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7325.65</v>
      </c>
      <c r="D11" s="95">
        <f>'DOE25'!G12</f>
        <v>3653.08</v>
      </c>
      <c r="E11" s="95">
        <f>'DOE25'!H12</f>
        <v>-10978.74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1430.78</v>
      </c>
      <c r="D13" s="95">
        <f>'DOE25'!G14</f>
        <v>0</v>
      </c>
      <c r="E13" s="95">
        <f>'DOE25'!H14</f>
        <v>11633.85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1600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373077.92000000004</v>
      </c>
      <c r="D18" s="41">
        <f>SUM(D8:D17)</f>
        <v>3653.08</v>
      </c>
      <c r="E18" s="41">
        <f>SUM(E8:E17)</f>
        <v>655.11000000000058</v>
      </c>
      <c r="F18" s="41">
        <f>SUM(F8:F17)</f>
        <v>0</v>
      </c>
      <c r="G18" s="41">
        <f>SUM(G8:G17)</f>
        <v>281285.34999999998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29495.79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39840.36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69336.149999999994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39790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3569.35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83.73</v>
      </c>
      <c r="E47" s="95">
        <f>'DOE25'!H48</f>
        <v>655.1099999999999</v>
      </c>
      <c r="F47" s="95">
        <f>'DOE25'!I48</f>
        <v>0</v>
      </c>
      <c r="G47" s="95">
        <f>'DOE25'!J48</f>
        <v>281285.34999999998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263951.77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303741.77</v>
      </c>
      <c r="D50" s="41">
        <f>SUM(D34:D49)</f>
        <v>3653.08</v>
      </c>
      <c r="E50" s="41">
        <f>SUM(E34:E49)</f>
        <v>655.1099999999999</v>
      </c>
      <c r="F50" s="41">
        <f>SUM(F34:F49)</f>
        <v>0</v>
      </c>
      <c r="G50" s="41">
        <f>SUM(G34:G49)</f>
        <v>281285.34999999998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373077.92000000004</v>
      </c>
      <c r="D51" s="41">
        <f>D50+D31</f>
        <v>3653.08</v>
      </c>
      <c r="E51" s="41">
        <f>E50+E31</f>
        <v>655.1099999999999</v>
      </c>
      <c r="F51" s="41">
        <f>F50+F31</f>
        <v>0</v>
      </c>
      <c r="G51" s="41">
        <f>G50+G31</f>
        <v>281285.34999999998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2369280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254.49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34.85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16799.75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49894.97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50149.46</v>
      </c>
      <c r="D62" s="130">
        <f>SUM(D57:D61)</f>
        <v>16799.75</v>
      </c>
      <c r="E62" s="130">
        <f>SUM(E57:E61)</f>
        <v>0</v>
      </c>
      <c r="F62" s="130">
        <f>SUM(F57:F61)</f>
        <v>0</v>
      </c>
      <c r="G62" s="130">
        <f>SUM(G57:G61)</f>
        <v>34.85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2419429.46</v>
      </c>
      <c r="D63" s="22">
        <f>D56+D62</f>
        <v>16799.75</v>
      </c>
      <c r="E63" s="22">
        <f>E56+E62</f>
        <v>0</v>
      </c>
      <c r="F63" s="22">
        <f>F56+F62</f>
        <v>0</v>
      </c>
      <c r="G63" s="22">
        <f>G56+G62</f>
        <v>34.85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315753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174129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489882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34334.050000000003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537.04999999999995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34334.050000000003</v>
      </c>
      <c r="D78" s="130">
        <f>SUM(D72:D77)</f>
        <v>537.04999999999995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524216.05</v>
      </c>
      <c r="D81" s="130">
        <f>SUM(D79:D80)+D78+D70</f>
        <v>537.04999999999995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2688.41</v>
      </c>
      <c r="D88" s="95">
        <f>SUM('DOE25'!G153:G161)</f>
        <v>18124.22</v>
      </c>
      <c r="E88" s="95">
        <f>SUM('DOE25'!H153:H161)</f>
        <v>49559.069999999992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184.3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2872.71</v>
      </c>
      <c r="D91" s="131">
        <f>SUM(D85:D90)</f>
        <v>18124.22</v>
      </c>
      <c r="E91" s="131">
        <f>SUM(E85:E90)</f>
        <v>49559.069999999992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76800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48207</v>
      </c>
      <c r="E96" s="95">
        <f>'DOE25'!H179</f>
        <v>0</v>
      </c>
      <c r="F96" s="95">
        <f>'DOE25'!I179</f>
        <v>0</v>
      </c>
      <c r="G96" s="95">
        <f>'DOE25'!J179</f>
        <v>55000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76800</v>
      </c>
      <c r="D103" s="86">
        <f>SUM(D93:D102)</f>
        <v>48207</v>
      </c>
      <c r="E103" s="86">
        <f>SUM(E93:E102)</f>
        <v>0</v>
      </c>
      <c r="F103" s="86">
        <f>SUM(F93:F102)</f>
        <v>0</v>
      </c>
      <c r="G103" s="86">
        <f>SUM(G93:G102)</f>
        <v>55000</v>
      </c>
    </row>
    <row r="104" spans="1:7" ht="12.75" thickTop="1" thickBot="1" x14ac:dyDescent="0.25">
      <c r="A104" s="33" t="s">
        <v>765</v>
      </c>
      <c r="C104" s="86">
        <f>C63+C81+C91+C103</f>
        <v>3023318.2199999997</v>
      </c>
      <c r="D104" s="86">
        <f>D63+D81+D91+D103</f>
        <v>83668.02</v>
      </c>
      <c r="E104" s="86">
        <f>E63+E81+E91+E103</f>
        <v>49559.069999999992</v>
      </c>
      <c r="F104" s="86">
        <f>F63+F81+F91+F103</f>
        <v>0</v>
      </c>
      <c r="G104" s="86">
        <f>G63+G81+G103</f>
        <v>55034.85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1203615.78</v>
      </c>
      <c r="D109" s="24" t="s">
        <v>289</v>
      </c>
      <c r="E109" s="95">
        <f>('DOE25'!L276)+('DOE25'!L295)+('DOE25'!L314)</f>
        <v>20813.57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602405.65</v>
      </c>
      <c r="D110" s="24" t="s">
        <v>289</v>
      </c>
      <c r="E110" s="95">
        <f>('DOE25'!L277)+('DOE25'!L296)+('DOE25'!L315)</f>
        <v>24495.989999999998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7767.48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8879.24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1822668.1500000001</v>
      </c>
      <c r="D115" s="86">
        <f>SUM(D109:D114)</f>
        <v>0</v>
      </c>
      <c r="E115" s="86">
        <f>SUM(E109:E114)</f>
        <v>45309.56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106841.09999999999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47432.95</v>
      </c>
      <c r="D119" s="24" t="s">
        <v>289</v>
      </c>
      <c r="E119" s="95">
        <f>+('DOE25'!L282)+('DOE25'!L301)+('DOE25'!L320)</f>
        <v>2303.2200000000003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135275.21000000002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206990.11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82235.039999999994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125366.61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92859.579999999987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83584.289999999994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797000.6</v>
      </c>
      <c r="D128" s="86">
        <f>SUM(D118:D127)</f>
        <v>83584.289999999994</v>
      </c>
      <c r="E128" s="86">
        <f>SUM(E118:E127)</f>
        <v>2303.2200000000003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76800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36000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3790.36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48207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45009.22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10025.630000000001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-34.850000000005821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219797.36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2839466.11</v>
      </c>
      <c r="D145" s="86">
        <f>(D115+D128+D144)</f>
        <v>83584.289999999994</v>
      </c>
      <c r="E145" s="86">
        <f>(E115+E128+E144)</f>
        <v>47612.78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2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07/09</v>
      </c>
      <c r="C152" s="152" t="str">
        <f>'DOE25'!G491</f>
        <v>07/14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07/14</v>
      </c>
      <c r="C153" s="152" t="str">
        <f>'DOE25'!G492</f>
        <v>07/16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180000</v>
      </c>
      <c r="C154" s="137">
        <f>'DOE25'!G493</f>
        <v>76800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3.5</v>
      </c>
      <c r="C155" s="137">
        <f>'DOE25'!G494</f>
        <v>2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36000</v>
      </c>
      <c r="C156" s="137">
        <f>'DOE25'!G495</f>
        <v>76800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112800</v>
      </c>
    </row>
    <row r="157" spans="1:9" x14ac:dyDescent="0.2">
      <c r="A157" s="22" t="s">
        <v>33</v>
      </c>
      <c r="B157" s="137">
        <f>'DOE25'!F496</f>
        <v>3790.36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3790.36</v>
      </c>
    </row>
    <row r="158" spans="1:9" x14ac:dyDescent="0.2">
      <c r="A158" s="22" t="s">
        <v>34</v>
      </c>
      <c r="B158" s="137">
        <f>'DOE25'!F497</f>
        <v>39790.36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39790.36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76800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76800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2276.64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2276.64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79076.639999999999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79076.639999999999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38400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38400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1506.54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1506.54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39906.54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39906.54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Monroe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24378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24378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1224429</v>
      </c>
      <c r="D10" s="182">
        <f>ROUND((C10/$C$28)*100,1)</f>
        <v>44.7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626902</v>
      </c>
      <c r="D11" s="182">
        <f>ROUND((C11/$C$28)*100,1)</f>
        <v>22.9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7767</v>
      </c>
      <c r="D12" s="182">
        <f>ROUND((C12/$C$28)*100,1)</f>
        <v>0.3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8879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106841</v>
      </c>
      <c r="D15" s="182">
        <f t="shared" ref="D15:D27" si="0">ROUND((C15/$C$28)*100,1)</f>
        <v>3.9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49736</v>
      </c>
      <c r="D16" s="182">
        <f t="shared" si="0"/>
        <v>1.8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135275</v>
      </c>
      <c r="D17" s="182">
        <f t="shared" si="0"/>
        <v>4.9000000000000004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206990</v>
      </c>
      <c r="D18" s="182">
        <f t="shared" si="0"/>
        <v>7.6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82235</v>
      </c>
      <c r="D19" s="182">
        <f t="shared" si="0"/>
        <v>3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125367</v>
      </c>
      <c r="D20" s="182">
        <f t="shared" si="0"/>
        <v>4.5999999999999996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92860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3790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66784.25</v>
      </c>
      <c r="D27" s="182">
        <f t="shared" si="0"/>
        <v>2.4</v>
      </c>
    </row>
    <row r="28" spans="1:4" x14ac:dyDescent="0.2">
      <c r="B28" s="187" t="s">
        <v>723</v>
      </c>
      <c r="C28" s="180">
        <f>SUM(C10:C27)</f>
        <v>2737855.25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76800</v>
      </c>
    </row>
    <row r="30" spans="1:4" x14ac:dyDescent="0.2">
      <c r="B30" s="187" t="s">
        <v>729</v>
      </c>
      <c r="C30" s="180">
        <f>SUM(C28:C29)</f>
        <v>2814655.25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36000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2369280</v>
      </c>
      <c r="D35" s="182">
        <f t="shared" ref="D35:D40" si="1">ROUND((C35/$C$41)*100,1)</f>
        <v>78.599999999999994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50184.310000000056</v>
      </c>
      <c r="D36" s="182">
        <f t="shared" si="1"/>
        <v>1.7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489882</v>
      </c>
      <c r="D37" s="182">
        <f t="shared" si="1"/>
        <v>16.2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34871</v>
      </c>
      <c r="D38" s="182">
        <f t="shared" si="1"/>
        <v>1.2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70556</v>
      </c>
      <c r="D39" s="182">
        <f t="shared" si="1"/>
        <v>2.2999999999999998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3014773.31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76800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47" sqref="C47:M4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Monroe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2015-08-27T14:59:34Z</cp:lastPrinted>
  <dcterms:created xsi:type="dcterms:W3CDTF">1997-12-04T19:04:30Z</dcterms:created>
  <dcterms:modified xsi:type="dcterms:W3CDTF">2015-11-18T17:56:02Z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