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8800" windowHeight="1183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B12" i="12" l="1"/>
  <c r="G611" i="1" l="1"/>
  <c r="F611" i="1"/>
  <c r="H400" i="1" l="1"/>
  <c r="F24" i="1"/>
  <c r="F367" i="1" l="1"/>
  <c r="G48" i="1" l="1"/>
  <c r="F50" i="1"/>
  <c r="G521" i="1" l="1"/>
  <c r="F521" i="1"/>
  <c r="J472" i="1" l="1"/>
  <c r="I472" i="1"/>
  <c r="H472" i="1"/>
  <c r="I468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C125" i="2" s="1"/>
  <c r="L227" i="1"/>
  <c r="L245" i="1"/>
  <c r="F5" i="13"/>
  <c r="G5" i="13"/>
  <c r="L197" i="1"/>
  <c r="L198" i="1"/>
  <c r="L199" i="1"/>
  <c r="L200" i="1"/>
  <c r="C112" i="2" s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C119" i="2" s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G662" i="1" s="1"/>
  <c r="L244" i="1"/>
  <c r="F17" i="13"/>
  <c r="G17" i="13"/>
  <c r="D17" i="13" s="1"/>
  <c r="C17" i="13" s="1"/>
  <c r="L251" i="1"/>
  <c r="F18" i="13"/>
  <c r="G18" i="13"/>
  <c r="L252" i="1"/>
  <c r="D18" i="13" s="1"/>
  <c r="C18" i="13" s="1"/>
  <c r="F19" i="13"/>
  <c r="G19" i="13"/>
  <c r="D19" i="13" s="1"/>
  <c r="C19" i="13" s="1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E110" i="2" s="1"/>
  <c r="L278" i="1"/>
  <c r="E111" i="2" s="1"/>
  <c r="L279" i="1"/>
  <c r="E112" i="2" s="1"/>
  <c r="L281" i="1"/>
  <c r="L282" i="1"/>
  <c r="L283" i="1"/>
  <c r="E120" i="2" s="1"/>
  <c r="L284" i="1"/>
  <c r="E121" i="2" s="1"/>
  <c r="L285" i="1"/>
  <c r="L286" i="1"/>
  <c r="E123" i="2" s="1"/>
  <c r="L287" i="1"/>
  <c r="E124" i="2" s="1"/>
  <c r="L288" i="1"/>
  <c r="E125" i="2" s="1"/>
  <c r="L295" i="1"/>
  <c r="L309" i="1" s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28" i="1" s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L341" i="1"/>
  <c r="L342" i="1"/>
  <c r="L255" i="1"/>
  <c r="C130" i="2" s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L250" i="1"/>
  <c r="L332" i="1"/>
  <c r="L254" i="1"/>
  <c r="L268" i="1"/>
  <c r="L269" i="1"/>
  <c r="L349" i="1"/>
  <c r="C26" i="10" s="1"/>
  <c r="L350" i="1"/>
  <c r="I665" i="1"/>
  <c r="I670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L541" i="1"/>
  <c r="J549" i="1" s="1"/>
  <c r="J552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F18" i="2" s="1"/>
  <c r="I441" i="1"/>
  <c r="J12" i="1" s="1"/>
  <c r="G11" i="2" s="1"/>
  <c r="C12" i="2"/>
  <c r="D12" i="2"/>
  <c r="D18" i="2" s="1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8" i="2"/>
  <c r="E58" i="2"/>
  <c r="C59" i="2"/>
  <c r="D59" i="2"/>
  <c r="E59" i="2"/>
  <c r="F59" i="2"/>
  <c r="D60" i="2"/>
  <c r="C61" i="2"/>
  <c r="D61" i="2"/>
  <c r="D62" i="2" s="1"/>
  <c r="D63" i="2" s="1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F78" i="2" s="1"/>
  <c r="F81" i="2" s="1"/>
  <c r="C77" i="2"/>
  <c r="D77" i="2"/>
  <c r="D78" i="2" s="1"/>
  <c r="D81" i="2" s="1"/>
  <c r="E77" i="2"/>
  <c r="F77" i="2"/>
  <c r="G77" i="2"/>
  <c r="G78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3" i="2"/>
  <c r="E113" i="2"/>
  <c r="D115" i="2"/>
  <c r="F115" i="2"/>
  <c r="G115" i="2"/>
  <c r="F128" i="2"/>
  <c r="G128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G620" i="1" s="1"/>
  <c r="F32" i="1"/>
  <c r="F52" i="1" s="1"/>
  <c r="H617" i="1" s="1"/>
  <c r="G32" i="1"/>
  <c r="G52" i="1" s="1"/>
  <c r="H618" i="1" s="1"/>
  <c r="H32" i="1"/>
  <c r="I32" i="1"/>
  <c r="H51" i="1"/>
  <c r="G624" i="1" s="1"/>
  <c r="I51" i="1"/>
  <c r="F177" i="1"/>
  <c r="I177" i="1"/>
  <c r="F183" i="1"/>
  <c r="G183" i="1"/>
  <c r="G192" i="1" s="1"/>
  <c r="H183" i="1"/>
  <c r="I183" i="1"/>
  <c r="J183" i="1"/>
  <c r="J192" i="1" s="1"/>
  <c r="F188" i="1"/>
  <c r="F192" i="1" s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F338" i="1" s="1"/>
  <c r="F352" i="1" s="1"/>
  <c r="G290" i="1"/>
  <c r="G338" i="1" s="1"/>
  <c r="G352" i="1" s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H408" i="1" s="1"/>
  <c r="H644" i="1" s="1"/>
  <c r="J644" i="1" s="1"/>
  <c r="I407" i="1"/>
  <c r="F408" i="1"/>
  <c r="G408" i="1"/>
  <c r="I408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H461" i="1" s="1"/>
  <c r="H641" i="1" s="1"/>
  <c r="I452" i="1"/>
  <c r="F460" i="1"/>
  <c r="G460" i="1"/>
  <c r="G461" i="1" s="1"/>
  <c r="H640" i="1" s="1"/>
  <c r="J640" i="1" s="1"/>
  <c r="H460" i="1"/>
  <c r="I460" i="1"/>
  <c r="I461" i="1" s="1"/>
  <c r="H642" i="1" s="1"/>
  <c r="F461" i="1"/>
  <c r="I470" i="1"/>
  <c r="H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K545" i="1" s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H571" i="1" s="1"/>
  <c r="I560" i="1"/>
  <c r="J560" i="1"/>
  <c r="K560" i="1"/>
  <c r="K571" i="1" s="1"/>
  <c r="L562" i="1"/>
  <c r="L565" i="1" s="1"/>
  <c r="L563" i="1"/>
  <c r="L564" i="1"/>
  <c r="F565" i="1"/>
  <c r="G565" i="1"/>
  <c r="H565" i="1"/>
  <c r="I565" i="1"/>
  <c r="I571" i="1" s="1"/>
  <c r="J565" i="1"/>
  <c r="K565" i="1"/>
  <c r="L567" i="1"/>
  <c r="L568" i="1"/>
  <c r="L569" i="1"/>
  <c r="F570" i="1"/>
  <c r="F571" i="1" s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9" i="1"/>
  <c r="G622" i="1"/>
  <c r="G623" i="1"/>
  <c r="H630" i="1"/>
  <c r="H633" i="1"/>
  <c r="H636" i="1"/>
  <c r="H638" i="1"/>
  <c r="G639" i="1"/>
  <c r="H639" i="1"/>
  <c r="J639" i="1" s="1"/>
  <c r="G641" i="1"/>
  <c r="G643" i="1"/>
  <c r="J643" i="1" s="1"/>
  <c r="H643" i="1"/>
  <c r="G644" i="1"/>
  <c r="G645" i="1"/>
  <c r="H645" i="1"/>
  <c r="G650" i="1"/>
  <c r="G651" i="1"/>
  <c r="G652" i="1"/>
  <c r="H652" i="1"/>
  <c r="G653" i="1"/>
  <c r="H653" i="1"/>
  <c r="G654" i="1"/>
  <c r="H654" i="1"/>
  <c r="H655" i="1"/>
  <c r="C91" i="2"/>
  <c r="G161" i="2"/>
  <c r="E103" i="2"/>
  <c r="E78" i="2"/>
  <c r="L433" i="1"/>
  <c r="I169" i="1"/>
  <c r="J140" i="1"/>
  <c r="H140" i="1"/>
  <c r="H192" i="1"/>
  <c r="J645" i="1"/>
  <c r="L570" i="1"/>
  <c r="G36" i="2"/>
  <c r="D29" i="13" l="1"/>
  <c r="C29" i="13" s="1"/>
  <c r="H545" i="1"/>
  <c r="J655" i="1"/>
  <c r="D50" i="2"/>
  <c r="L534" i="1"/>
  <c r="L544" i="1"/>
  <c r="H552" i="1"/>
  <c r="F552" i="1"/>
  <c r="J545" i="1"/>
  <c r="G545" i="1"/>
  <c r="K550" i="1"/>
  <c r="L524" i="1"/>
  <c r="I476" i="1"/>
  <c r="H625" i="1" s="1"/>
  <c r="I446" i="1"/>
  <c r="G642" i="1" s="1"/>
  <c r="J642" i="1" s="1"/>
  <c r="I369" i="1"/>
  <c r="H634" i="1" s="1"/>
  <c r="J634" i="1" s="1"/>
  <c r="K605" i="1"/>
  <c r="G648" i="1" s="1"/>
  <c r="K598" i="1"/>
  <c r="G647" i="1" s="1"/>
  <c r="C109" i="2"/>
  <c r="E13" i="13"/>
  <c r="C13" i="13" s="1"/>
  <c r="A40" i="12"/>
  <c r="A31" i="12"/>
  <c r="A13" i="12"/>
  <c r="F22" i="13"/>
  <c r="C22" i="13" s="1"/>
  <c r="C16" i="10"/>
  <c r="F257" i="1"/>
  <c r="F271" i="1" s="1"/>
  <c r="C13" i="10"/>
  <c r="L362" i="1"/>
  <c r="K338" i="1"/>
  <c r="K352" i="1" s="1"/>
  <c r="E119" i="2"/>
  <c r="C32" i="10"/>
  <c r="K257" i="1"/>
  <c r="K271" i="1" s="1"/>
  <c r="J257" i="1"/>
  <c r="J271" i="1" s="1"/>
  <c r="D14" i="13"/>
  <c r="C14" i="13" s="1"/>
  <c r="D7" i="13"/>
  <c r="C7" i="13" s="1"/>
  <c r="I257" i="1"/>
  <c r="I271" i="1" s="1"/>
  <c r="C110" i="2"/>
  <c r="H257" i="1"/>
  <c r="H271" i="1" s="1"/>
  <c r="G257" i="1"/>
  <c r="G271" i="1" s="1"/>
  <c r="L211" i="1"/>
  <c r="D5" i="13"/>
  <c r="C5" i="13" s="1"/>
  <c r="C11" i="10"/>
  <c r="E62" i="2"/>
  <c r="E63" i="2" s="1"/>
  <c r="C78" i="2"/>
  <c r="C70" i="2"/>
  <c r="H52" i="1"/>
  <c r="H619" i="1" s="1"/>
  <c r="J619" i="1" s="1"/>
  <c r="E31" i="2"/>
  <c r="D31" i="2"/>
  <c r="J617" i="1"/>
  <c r="H660" i="1"/>
  <c r="L393" i="1"/>
  <c r="C138" i="2" s="1"/>
  <c r="E130" i="2"/>
  <c r="E144" i="2" s="1"/>
  <c r="C29" i="10"/>
  <c r="C25" i="10"/>
  <c r="H25" i="13"/>
  <c r="E122" i="2"/>
  <c r="E118" i="2"/>
  <c r="L290" i="1"/>
  <c r="L338" i="1" s="1"/>
  <c r="L352" i="1" s="1"/>
  <c r="G633" i="1" s="1"/>
  <c r="J633" i="1" s="1"/>
  <c r="E109" i="2"/>
  <c r="E115" i="2" s="1"/>
  <c r="H661" i="1"/>
  <c r="D127" i="2"/>
  <c r="D128" i="2" s="1"/>
  <c r="D145" i="2" s="1"/>
  <c r="C21" i="10"/>
  <c r="H647" i="1"/>
  <c r="F662" i="1"/>
  <c r="I662" i="1" s="1"/>
  <c r="C124" i="2"/>
  <c r="G649" i="1"/>
  <c r="J649" i="1" s="1"/>
  <c r="D15" i="13"/>
  <c r="C15" i="13" s="1"/>
  <c r="C18" i="10"/>
  <c r="D12" i="13"/>
  <c r="C12" i="13" s="1"/>
  <c r="C118" i="2"/>
  <c r="D6" i="13"/>
  <c r="C6" i="13" s="1"/>
  <c r="C15" i="10"/>
  <c r="L247" i="1"/>
  <c r="C12" i="10"/>
  <c r="C111" i="2"/>
  <c r="C122" i="2"/>
  <c r="C19" i="10"/>
  <c r="C120" i="2"/>
  <c r="E8" i="13"/>
  <c r="C8" i="13" s="1"/>
  <c r="J651" i="1"/>
  <c r="J641" i="1"/>
  <c r="J571" i="1"/>
  <c r="L427" i="1"/>
  <c r="L434" i="1" s="1"/>
  <c r="G638" i="1" s="1"/>
  <c r="J638" i="1" s="1"/>
  <c r="L256" i="1"/>
  <c r="C123" i="2"/>
  <c r="C114" i="2"/>
  <c r="L270" i="1"/>
  <c r="K551" i="1"/>
  <c r="F112" i="1"/>
  <c r="C35" i="10"/>
  <c r="C56" i="2"/>
  <c r="H112" i="1"/>
  <c r="H193" i="1" s="1"/>
  <c r="I545" i="1"/>
  <c r="C20" i="10"/>
  <c r="L401" i="1"/>
  <c r="C139" i="2" s="1"/>
  <c r="L351" i="1"/>
  <c r="F661" i="1"/>
  <c r="L229" i="1"/>
  <c r="G660" i="1" s="1"/>
  <c r="C10" i="10"/>
  <c r="E16" i="13"/>
  <c r="C17" i="10"/>
  <c r="I52" i="1"/>
  <c r="H620" i="1" s="1"/>
  <c r="G625" i="1"/>
  <c r="J625" i="1" s="1"/>
  <c r="B164" i="2"/>
  <c r="G164" i="2" s="1"/>
  <c r="K503" i="1"/>
  <c r="G156" i="2"/>
  <c r="E142" i="2"/>
  <c r="C121" i="2"/>
  <c r="C18" i="2"/>
  <c r="C132" i="2"/>
  <c r="I551" i="1"/>
  <c r="I552" i="1" s="1"/>
  <c r="L539" i="1"/>
  <c r="G549" i="1"/>
  <c r="L529" i="1"/>
  <c r="F130" i="2"/>
  <c r="F144" i="2" s="1"/>
  <c r="F145" i="2" s="1"/>
  <c r="G661" i="1"/>
  <c r="G81" i="2"/>
  <c r="C62" i="2"/>
  <c r="G112" i="1"/>
  <c r="J338" i="1"/>
  <c r="J352" i="1" s="1"/>
  <c r="L382" i="1"/>
  <c r="G636" i="1" s="1"/>
  <c r="J636" i="1" s="1"/>
  <c r="E81" i="2"/>
  <c r="L614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F50" i="2"/>
  <c r="C24" i="10"/>
  <c r="G31" i="13"/>
  <c r="G33" i="13" s="1"/>
  <c r="I338" i="1"/>
  <c r="I352" i="1" s="1"/>
  <c r="J650" i="1"/>
  <c r="L407" i="1"/>
  <c r="C140" i="2" s="1"/>
  <c r="L571" i="1"/>
  <c r="I192" i="1"/>
  <c r="E91" i="2"/>
  <c r="J654" i="1"/>
  <c r="J653" i="1"/>
  <c r="G21" i="2"/>
  <c r="G31" i="2" s="1"/>
  <c r="J32" i="1"/>
  <c r="J434" i="1"/>
  <c r="F434" i="1"/>
  <c r="K434" i="1"/>
  <c r="G134" i="2" s="1"/>
  <c r="G144" i="2" s="1"/>
  <c r="G145" i="2" s="1"/>
  <c r="F31" i="13"/>
  <c r="J193" i="1"/>
  <c r="F104" i="2"/>
  <c r="G169" i="1"/>
  <c r="C39" i="10" s="1"/>
  <c r="G140" i="1"/>
  <c r="F140" i="1"/>
  <c r="G63" i="2"/>
  <c r="J618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J652" i="1"/>
  <c r="G571" i="1"/>
  <c r="I434" i="1"/>
  <c r="G434" i="1"/>
  <c r="I663" i="1"/>
  <c r="E104" i="2" l="1"/>
  <c r="G629" i="1"/>
  <c r="H468" i="1"/>
  <c r="C27" i="10"/>
  <c r="C28" i="10" s="1"/>
  <c r="D21" i="10" s="1"/>
  <c r="G472" i="1"/>
  <c r="D51" i="2"/>
  <c r="G646" i="1"/>
  <c r="J468" i="1"/>
  <c r="F51" i="2"/>
  <c r="J647" i="1"/>
  <c r="L545" i="1"/>
  <c r="L408" i="1"/>
  <c r="C141" i="2"/>
  <c r="C144" i="2" s="1"/>
  <c r="F33" i="13"/>
  <c r="G635" i="1"/>
  <c r="C115" i="2"/>
  <c r="F660" i="1"/>
  <c r="F664" i="1" s="1"/>
  <c r="G664" i="1"/>
  <c r="G667" i="1" s="1"/>
  <c r="I661" i="1"/>
  <c r="C81" i="2"/>
  <c r="C36" i="10"/>
  <c r="F193" i="1"/>
  <c r="C63" i="2"/>
  <c r="E51" i="2"/>
  <c r="D31" i="13"/>
  <c r="C31" i="13" s="1"/>
  <c r="E33" i="13"/>
  <c r="D35" i="13" s="1"/>
  <c r="C16" i="13"/>
  <c r="C128" i="2"/>
  <c r="H648" i="1"/>
  <c r="J648" i="1" s="1"/>
  <c r="G104" i="2"/>
  <c r="E128" i="2"/>
  <c r="E145" i="2" s="1"/>
  <c r="L257" i="1"/>
  <c r="L271" i="1" s="1"/>
  <c r="G552" i="1"/>
  <c r="K549" i="1"/>
  <c r="K552" i="1" s="1"/>
  <c r="C25" i="13"/>
  <c r="H33" i="13"/>
  <c r="H664" i="1"/>
  <c r="C51" i="2"/>
  <c r="G631" i="1"/>
  <c r="G193" i="1"/>
  <c r="G626" i="1"/>
  <c r="J52" i="1"/>
  <c r="H621" i="1" s="1"/>
  <c r="J621" i="1" s="1"/>
  <c r="C38" i="10"/>
  <c r="H470" i="1" l="1"/>
  <c r="H476" i="1" s="1"/>
  <c r="H624" i="1" s="1"/>
  <c r="J624" i="1" s="1"/>
  <c r="H629" i="1"/>
  <c r="J629" i="1" s="1"/>
  <c r="G627" i="1"/>
  <c r="F468" i="1"/>
  <c r="H635" i="1"/>
  <c r="J635" i="1" s="1"/>
  <c r="G474" i="1"/>
  <c r="G632" i="1"/>
  <c r="F472" i="1"/>
  <c r="G628" i="1"/>
  <c r="G468" i="1"/>
  <c r="H631" i="1"/>
  <c r="J631" i="1" s="1"/>
  <c r="H637" i="1"/>
  <c r="J470" i="1"/>
  <c r="J476" i="1" s="1"/>
  <c r="H626" i="1" s="1"/>
  <c r="J626" i="1" s="1"/>
  <c r="G637" i="1"/>
  <c r="H646" i="1"/>
  <c r="J646" i="1" s="1"/>
  <c r="I660" i="1"/>
  <c r="I664" i="1" s="1"/>
  <c r="I672" i="1" s="1"/>
  <c r="C7" i="10" s="1"/>
  <c r="D18" i="10"/>
  <c r="D26" i="10"/>
  <c r="D33" i="13"/>
  <c r="D36" i="13" s="1"/>
  <c r="D22" i="10"/>
  <c r="D15" i="10"/>
  <c r="G672" i="1"/>
  <c r="C5" i="10" s="1"/>
  <c r="D11" i="10"/>
  <c r="C30" i="10"/>
  <c r="D12" i="10"/>
  <c r="D16" i="10"/>
  <c r="D19" i="10"/>
  <c r="D27" i="10"/>
  <c r="D17" i="10"/>
  <c r="D24" i="10"/>
  <c r="D10" i="10"/>
  <c r="D23" i="10"/>
  <c r="D20" i="10"/>
  <c r="D25" i="10"/>
  <c r="D13" i="10"/>
  <c r="C104" i="2"/>
  <c r="H667" i="1"/>
  <c r="H672" i="1"/>
  <c r="C6" i="10" s="1"/>
  <c r="F672" i="1"/>
  <c r="C4" i="10" s="1"/>
  <c r="F667" i="1"/>
  <c r="C145" i="2"/>
  <c r="C41" i="10"/>
  <c r="D38" i="10" s="1"/>
  <c r="H627" i="1" l="1"/>
  <c r="F470" i="1"/>
  <c r="J627" i="1"/>
  <c r="F474" i="1"/>
  <c r="F476" i="1" s="1"/>
  <c r="H622" i="1" s="1"/>
  <c r="J622" i="1" s="1"/>
  <c r="H632" i="1"/>
  <c r="J632" i="1" s="1"/>
  <c r="G470" i="1"/>
  <c r="G476" i="1" s="1"/>
  <c r="H623" i="1" s="1"/>
  <c r="J623" i="1" s="1"/>
  <c r="H628" i="1"/>
  <c r="J628" i="1" s="1"/>
  <c r="J637" i="1"/>
  <c r="I667" i="1"/>
  <c r="D28" i="10"/>
  <c r="D37" i="10"/>
  <c r="D36" i="10"/>
  <c r="D35" i="10"/>
  <c r="D40" i="10"/>
  <c r="D39" i="10"/>
  <c r="H656" i="1" l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<sst xmlns="http://schemas.openxmlformats.org/spreadsheetml/2006/main" count="3955" uniqueCount="913">
  <si>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</si>
  <si>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</si>
  <si>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</si>
  <si>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</si>
  <si>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</si>
  <si>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</si>
  <si>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</si>
  <si>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</si>
  <si>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</si>
  <si>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</si>
  <si>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</si>
  <si>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</si>
  <si>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</si>
  <si>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</si>
  <si>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</si>
  <si>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</si>
  <si>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</si>
  <si>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</si>
  <si>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</si>
  <si>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</si>
  <si>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</si>
  <si>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</si>
  <si>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</si>
  <si>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</si>
  <si>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</si>
  <si>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</si>
  <si>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</si>
  <si>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</si>
  <si>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</si>
  <si>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</si>
  <si>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</si>
  <si>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</si>
  <si>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</si>
  <si>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</si>
  <si>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</si>
  <si>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</si>
  <si>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</si>
  <si>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</si>
  <si>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</si>
  <si>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</si>
  <si>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</si>
  <si>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</si>
  <si>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</si>
  <si>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</si>
  <si>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</si>
  <si>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</si>
  <si>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</si>
  <si>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</si>
  <si>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</si>
  <si>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</si>
  <si>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</si>
  <si>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</si>
  <si>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</si>
  <si>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</si>
  <si>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</si>
  <si>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</si>
  <si>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</si>
  <si>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</si>
  <si>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</si>
  <si>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</si>
  <si>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</si>
  <si>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</si>
  <si>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</si>
  <si>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</si>
  <si>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</si>
  <si>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</si>
  <si>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</si>
  <si>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</si>
  <si>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</si>
  <si>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</si>
  <si>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</si>
  <si>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</si>
  <si>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</si>
  <si>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</si>
  <si>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</si>
  <si>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</si>
  <si>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</si>
  <si>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</si>
  <si>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</si>
  <si>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</si>
  <si>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</si>
  <si>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</si>
  <si>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</si>
  <si>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</si>
  <si>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</si>
  <si>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</si>
  <si>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</si>
  <si>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</si>
  <si>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</si>
  <si>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</si>
  <si>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</si>
  <si>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</si>
  <si>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</si>
  <si>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</si>
  <si>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</si>
  <si>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</si>
  <si>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</si>
  <si>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</si>
  <si>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</si>
  <si>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</si>
  <si>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</si>
  <si>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</si>
  <si>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</si>
  <si>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</si>
  <si>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</si>
  <si>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</si>
  <si>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</si>
  <si>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</si>
  <si>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</si>
  <si>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</si>
  <si>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</si>
  <si>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</si>
  <si>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</si>
  <si>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</si>
  <si>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</si>
  <si>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</si>
  <si>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</si>
  <si>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</si>
  <si>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</si>
  <si>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</si>
  <si>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</si>
  <si>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</si>
  <si>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</si>
  <si>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</si>
  <si>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</si>
  <si>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</si>
  <si>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</si>
  <si>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</si>
  <si>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</si>
  <si>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</si>
  <si>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</si>
  <si>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</si>
  <si>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</si>
  <si>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</si>
  <si>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</si>
  <si>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</si>
  <si>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</si>
  <si>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</si>
  <si>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</si>
  <si>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</si>
  <si>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</si>
  <si>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</si>
  <si>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</si>
  <si>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</si>
  <si>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</si>
  <si>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</si>
  <si>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</si>
  <si>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</si>
  <si>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</si>
  <si>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</si>
  <si>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</si>
  <si>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</si>
  <si>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</si>
  <si>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</si>
  <si>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</si>
  <si>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</si>
  <si>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</si>
  <si>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</si>
  <si>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</si>
  <si>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</si>
  <si>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</si>
  <si>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</si>
  <si>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</si>
  <si>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</si>
  <si>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</si>
  <si>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</si>
  <si>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</si>
  <si>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</si>
  <si>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</si>
  <si>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</si>
  <si>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</si>
  <si>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</si>
  <si>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</si>
  <si>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</si>
  <si>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</si>
  <si>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</si>
  <si>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</si>
  <si>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</si>
  <si>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</si>
  <si>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</si>
  <si>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</si>
  <si>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</si>
  <si>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</si>
  <si>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</si>
  <si>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</si>
  <si>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</si>
  <si>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</si>
  <si>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</si>
  <si>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</si>
  <si>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</si>
  <si>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</si>
  <si>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</si>
  <si>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</si>
  <si>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</si>
  <si>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</si>
  <si>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</si>
  <si>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</si>
  <si>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</si>
  <si>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</si>
  <si>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</si>
  <si>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</si>
  <si>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</si>
  <si>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</si>
  <si>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</si>
  <si>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</si>
  <si>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</si>
  <si>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</si>
  <si>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</si>
  <si>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</si>
  <si>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</si>
  <si>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</si>
  <si>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</si>
  <si>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</si>
  <si>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</si>
  <si>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</si>
  <si>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</si>
  <si>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</si>
  <si>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</si>
  <si>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</si>
  <si>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</si>
  <si>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</si>
  <si>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</si>
  <si>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</si>
  <si>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</si>
  <si>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</si>
  <si>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</si>
  <si>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</si>
  <si>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</si>
  <si>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</si>
  <si>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</si>
  <si>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</si>
  <si>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</si>
  <si>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</si>
  <si>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</si>
  <si>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</si>
  <si>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</si>
  <si>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</si>
  <si>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</si>
  <si>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</si>
  <si>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</si>
  <si>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</si>
  <si>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</si>
  <si>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</si>
  <si>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</si>
  <si>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</si>
  <si>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</si>
  <si>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</si>
  <si>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</si>
  <si>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</si>
  <si>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</si>
  <si>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</si>
  <si>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</si>
  <si>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</si>
  <si>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</si>
  <si>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</si>
  <si>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</si>
  <si>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</si>
  <si>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</si>
  <si>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</si>
  <si>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</si>
  <si>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</si>
  <si>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</si>
  <si>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</si>
  <si>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</si>
  <si>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</si>
  <si>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</si>
  <si>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</si>
  <si>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</si>
  <si>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</si>
  <si>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</si>
  <si>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</si>
  <si>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</si>
  <si>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</si>
  <si>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</si>
  <si>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</si>
  <si>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</si>
  <si>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</si>
  <si>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</si>
  <si>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</si>
  <si>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</si>
  <si>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</si>
  <si>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</si>
  <si>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</si>
  <si>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</si>
  <si>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</si>
  <si>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</si>
  <si>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</si>
  <si>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</si>
  <si>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</si>
  <si>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</si>
  <si>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</si>
  <si>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</si>
  <si>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</si>
  <si>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</si>
  <si>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</si>
  <si>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</si>
  <si>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</si>
  <si>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</si>
  <si>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</si>
  <si>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</si>
  <si>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</si>
  <si>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</si>
  <si>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</si>
  <si>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</si>
  <si>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</si>
  <si>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</si>
  <si>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</si>
  <si>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</si>
  <si>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</si>
  <si>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</si>
  <si>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</si>
  <si>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</si>
  <si>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</si>
  <si>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</si>
  <si>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</si>
  <si>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</si>
  <si>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</si>
  <si>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</si>
  <si>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</si>
  <si>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</si>
  <si>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</si>
  <si>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</si>
  <si>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</si>
  <si>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</si>
  <si>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</si>
  <si>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</si>
  <si>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</si>
  <si>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</si>
  <si>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</si>
  <si>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</si>
  <si>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</si>
  <si>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</si>
  <si>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</si>
  <si>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</si>
  <si>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</si>
  <si>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</si>
  <si>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</si>
  <si>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</si>
  <si>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</si>
  <si>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</si>
  <si>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</si>
  <si>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</si>
  <si>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</si>
  <si>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</si>
  <si>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</si>
  <si>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</si>
  <si>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</si>
  <si>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</si>
  <si>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</si>
  <si>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</si>
  <si>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</si>
  <si>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</si>
  <si>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</si>
  <si>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</si>
  <si>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</si>
  <si>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</si>
  <si>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</si>
  <si>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</si>
  <si>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</si>
  <si>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</si>
  <si>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</si>
  <si>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</si>
  <si>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</si>
  <si>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</si>
  <si>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</si>
  <si>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</si>
  <si>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</si>
  <si>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</si>
  <si>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</si>
  <si>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</si>
  <si>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</si>
  <si>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</si>
  <si>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</si>
  <si>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</si>
  <si>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</si>
  <si>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</si>
  <si>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</si>
  <si>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</si>
  <si>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</si>
  <si>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</si>
  <si>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</si>
  <si>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</si>
  <si>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</si>
  <si>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</si>
  <si>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</si>
  <si>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</si>
  <si>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</si>
  <si>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</si>
  <si>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</si>
  <si>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</si>
  <si>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</si>
  <si>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</si>
  <si>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</si>
  <si>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</si>
  <si>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</si>
  <si>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</si>
  <si>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</si>
  <si>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</si>
  <si>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</si>
  <si>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</si>
  <si>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</si>
  <si>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</si>
  <si>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</si>
  <si>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</si>
  <si>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</si>
  <si>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</si>
  <si>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</si>
  <si>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</si>
  <si>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</si>
  <si>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</si>
  <si>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</si>
  <si>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</si>
  <si>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</si>
  <si>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</si>
  <si>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</si>
  <si>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</si>
  <si>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</si>
  <si>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</si>
  <si>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</si>
  <si>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</si>
  <si>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</si>
  <si>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</si>
  <si>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</si>
  <si>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</si>
  <si>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</si>
  <si>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</si>
  <si>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</si>
  <si>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</si>
  <si>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</si>
  <si>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</si>
  <si>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</si>
  <si>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</si>
  <si>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</si>
  <si>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</si>
  <si>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</si>
  <si>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</si>
  <si>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</si>
  <si>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</si>
  <si>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</si>
  <si>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</si>
  <si>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</si>
  <si>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</si>
  <si>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</si>
  <si>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</si>
  <si>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</si>
  <si>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</si>
  <si>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</si>
  <si>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</si>
  <si>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</si>
  <si>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</si>
  <si>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</si>
  <si>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</si>
  <si>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</si>
  <si>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</si>
  <si>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</si>
  <si>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</si>
  <si>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</si>
  <si>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</si>
  <si>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</si>
  <si>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</si>
  <si>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</si>
  <si>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</si>
  <si>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</si>
  <si>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</si>
  <si>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</si>
  <si>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</si>
  <si>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</si>
  <si>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</si>
  <si>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</si>
  <si>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</si>
  <si>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</si>
  <si>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</si>
  <si>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</si>
  <si>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</si>
  <si>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</si>
  <si>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</si>
  <si>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</si>
  <si>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</si>
  <si>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</si>
  <si>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</si>
  <si>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</si>
  <si>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</si>
  <si>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</si>
  <si>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</si>
  <si>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</si>
  <si>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</si>
  <si>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</si>
  <si>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</si>
  <si>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</si>
  <si>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</si>
  <si>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</si>
  <si>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</si>
  <si>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</si>
  <si>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</si>
  <si>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</si>
  <si>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</si>
  <si>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</si>
  <si>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</si>
  <si>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</si>
  <si>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</si>
  <si>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</si>
  <si>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</si>
  <si>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</si>
  <si>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</si>
  <si>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</si>
  <si>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</si>
  <si>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</si>
  <si>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</si>
  <si>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</si>
  <si>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</si>
  <si>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</si>
  <si>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</si>
  <si>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</si>
  <si>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</si>
  <si>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</si>
  <si>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</si>
  <si>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</si>
  <si>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</si>
  <si>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</si>
  <si>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</si>
  <si>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</si>
  <si>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</si>
  <si>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</si>
  <si>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</si>
  <si>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</si>
  <si>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</si>
  <si>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</si>
  <si>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</si>
  <si>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</si>
  <si>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</si>
  <si>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</si>
  <si>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</si>
  <si>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</si>
  <si>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</si>
  <si>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</si>
  <si>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</si>
  <si>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</si>
  <si>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</si>
  <si>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</si>
  <si>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</si>
  <si>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</si>
  <si>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</si>
  <si>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</si>
  <si>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</si>
  <si>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</si>
  <si>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</si>
  <si>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</si>
  <si>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</si>
  <si>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</si>
  <si>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</si>
  <si>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</si>
  <si>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</si>
  <si>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</si>
  <si>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</si>
  <si>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</si>
  <si>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</si>
  <si>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</si>
  <si>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</si>
  <si>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</si>
  <si>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</si>
  <si>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</si>
  <si>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</si>
  <si>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</si>
  <si>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</si>
  <si>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</si>
  <si>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</si>
  <si>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</si>
  <si>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</si>
  <si>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</si>
  <si>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</si>
  <si>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</si>
  <si>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</si>
  <si>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</si>
  <si>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</si>
  <si>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</si>
  <si>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</si>
  <si>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</si>
  <si>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</si>
  <si>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</si>
  <si>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</si>
  <si>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</si>
  <si>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</si>
  <si>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</si>
  <si>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</si>
  <si>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</si>
  <si>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</si>
  <si>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</si>
  <si>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</si>
  <si>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</si>
  <si>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</si>
  <si>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</si>
  <si>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</si>
  <si>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</si>
  <si>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</si>
  <si>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</si>
  <si>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</si>
  <si>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</si>
  <si>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</si>
  <si>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</si>
  <si>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</si>
  <si>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</si>
  <si>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</si>
  <si>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</si>
  <si>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</si>
  <si>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</si>
  <si>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</si>
  <si>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</si>
  <si>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</si>
  <si>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</si>
  <si>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</si>
  <si>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</si>
  <si>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</si>
  <si>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</si>
  <si>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</si>
  <si>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</si>
  <si>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</si>
  <si>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</si>
  <si>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</si>
  <si>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</si>
  <si>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</si>
  <si>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</si>
  <si>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</si>
  <si>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</si>
  <si>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</si>
  <si>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</si>
  <si>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</si>
  <si>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</si>
  <si>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</si>
  <si>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</si>
  <si>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</si>
  <si>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</si>
  <si>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</si>
  <si>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</si>
  <si>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</si>
  <si>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</si>
  <si>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</si>
  <si>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</si>
  <si>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</si>
  <si>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</si>
  <si>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</si>
  <si>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</si>
  <si>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</si>
  <si>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</si>
  <si>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</si>
  <si>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</si>
  <si>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</si>
  <si>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</si>
  <si>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</si>
  <si>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</si>
  <si>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</si>
  <si>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</si>
  <si>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</si>
  <si>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</si>
  <si>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</si>
  <si>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</si>
  <si>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</si>
  <si>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</si>
  <si>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</si>
  <si>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</si>
  <si>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</si>
  <si>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</si>
  <si>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</si>
  <si>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</si>
  <si>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</si>
  <si>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</si>
  <si>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</si>
  <si>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</si>
  <si>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</si>
  <si>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</si>
  <si>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</si>
  <si>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</si>
  <si>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</si>
  <si>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</si>
  <si>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</si>
  <si>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</si>
  <si>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</si>
  <si>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</si>
  <si>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</si>
  <si>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</si>
  <si>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</si>
  <si>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</si>
  <si>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</si>
  <si>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</si>
  <si>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</si>
  <si>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</si>
  <si>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</si>
  <si>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</si>
  <si>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</si>
  <si>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</si>
  <si>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</si>
  <si>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</si>
  <si>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</si>
  <si>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</si>
  <si>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</si>
  <si>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</si>
  <si>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</si>
  <si>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</si>
  <si>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</si>
  <si>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</si>
  <si>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</si>
  <si>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</si>
  <si>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</si>
  <si>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</si>
  <si>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</si>
  <si>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</si>
  <si>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</si>
  <si>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</si>
  <si>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</si>
  <si>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</si>
  <si>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</si>
  <si>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</si>
  <si>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</si>
  <si>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</si>
  <si>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</si>
  <si>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</si>
  <si>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</si>
  <si>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</si>
  <si>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</si>
  <si>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</si>
  <si>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</si>
  <si>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</si>
  <si>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</si>
  <si>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</si>
  <si>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</si>
  <si>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</si>
  <si>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</si>
  <si>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</si>
  <si>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</si>
  <si>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</si>
  <si>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</si>
  <si>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</si>
  <si>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</si>
  <si>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</si>
  <si>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</si>
  <si>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</si>
  <si>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</si>
  <si>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</si>
  <si>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</si>
  <si>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</si>
  <si>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</si>
  <si>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</si>
  <si>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</si>
  <si>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</si>
  <si>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</si>
  <si>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</si>
  <si>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</si>
  <si>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</si>
  <si>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</si>
  <si>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</si>
  <si>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</si>
  <si>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</si>
  <si>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</si>
  <si>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</si>
  <si>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</si>
  <si>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</si>
  <si>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</si>
  <si>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</si>
  <si>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</si>
  <si>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</si>
  <si>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</si>
  <si>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</si>
  <si>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</si>
  <si>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</si>
  <si>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</si>
  <si>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</si>
  <si>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</si>
  <si>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</si>
  <si>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</si>
  <si>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</si>
  <si>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</si>
  <si>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</si>
  <si>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</si>
  <si>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</si>
  <si>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</si>
  <si>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</si>
  <si>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</si>
  <si>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</si>
  <si>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</si>
  <si>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</si>
  <si>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</si>
  <si>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</si>
  <si>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</si>
  <si>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</si>
  <si>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</si>
  <si>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</si>
  <si>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</si>
  <si>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</si>
  <si>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</si>
  <si>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</si>
  <si>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</si>
  <si>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</si>
  <si>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</si>
  <si>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</si>
  <si>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</si>
  <si>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</si>
  <si>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</si>
  <si>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</si>
  <si>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</si>
  <si>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</si>
  <si>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</si>
  <si>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</si>
  <si>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</si>
  <si>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</si>
  <si>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</si>
  <si>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</si>
  <si>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</si>
  <si>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</si>
  <si>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</si>
  <si>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</si>
  <si>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</si>
  <si>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</si>
  <si>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</si>
  <si>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</si>
  <si>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</si>
  <si>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</si>
  <si>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</si>
  <si>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</si>
  <si>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</si>
  <si>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</si>
  <si>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</si>
  <si>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</si>
  <si>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</si>
  <si>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</si>
  <si>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</si>
  <si>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</si>
  <si>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</si>
  <si>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</si>
  <si>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</si>
  <si>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</si>
  <si>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</si>
  <si>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</si>
  <si>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</si>
  <si>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</si>
  <si>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</si>
  <si>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</si>
  <si>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</si>
  <si>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</si>
  <si>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</si>
  <si>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</si>
  <si>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</si>
  <si>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</si>
  <si>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</si>
  <si>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</si>
  <si>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</si>
  <si>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</si>
  <si>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</si>
  <si>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</si>
  <si>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</si>
  <si>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</si>
  <si>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</si>
  <si>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</si>
  <si>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</si>
  <si>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</si>
  <si>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</si>
  <si>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</si>
  <si>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</si>
  <si>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</si>
  <si>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</si>
  <si>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</si>
  <si>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</si>
  <si>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</si>
  <si>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</si>
  <si>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</si>
  <si>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</si>
  <si>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</si>
  <si>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</si>
  <si>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</si>
  <si>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</si>
  <si>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</si>
  <si>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</si>
  <si>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</si>
  <si>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</si>
  <si>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</si>
  <si>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</si>
  <si>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</si>
  <si>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</si>
  <si>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</si>
  <si>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</si>
  <si>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</si>
  <si>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</si>
  <si>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</si>
  <si>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</si>
  <si>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</si>
  <si>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</si>
  <si>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</si>
  <si>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</si>
  <si>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</si>
  <si>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</si>
  <si>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</si>
  <si>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</si>
  <si>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</si>
  <si>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</si>
  <si>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</si>
  <si>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</si>
  <si>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</si>
  <si>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</si>
  <si>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</si>
  <si>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</si>
  <si>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</si>
  <si>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</si>
  <si>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</si>
  <si>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</si>
  <si>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</si>
  <si>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</si>
  <si>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</si>
  <si>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</si>
  <si>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</si>
  <si>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</si>
  <si>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</si>
  <si>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</si>
  <si>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</si>
  <si>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Mont Vernon School District</t>
  </si>
  <si>
    <t>Agency 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</si>
</sst>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G670" sqref="G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367</v>
      </c>
      <c r="C2" s="21">
        <v>367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564997.07999999996</v>
      </c>
      <c r="G9" s="18"/>
      <c r="H9" s="18"/>
      <c r="I9" s="18"/>
      <c r="J9" s="67">
        <f>SUM(I439)</f>
        <v>14794.88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0</v>
      </c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196079.75</v>
      </c>
      <c r="G12" s="18">
        <v>14875.95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15.78</v>
      </c>
      <c r="G13" s="18">
        <v>1973.31</v>
      </c>
      <c r="H13" s="18">
        <v>30971.42</v>
      </c>
      <c r="I13" s="18"/>
      <c r="J13" s="67">
        <f>SUM(I442)</f>
        <v>105318.2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5080.37</v>
      </c>
      <c r="G14" s="18">
        <v>36.520000000000003</v>
      </c>
      <c r="H14" s="18">
        <v>0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1174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767346.98</v>
      </c>
      <c r="G19" s="41">
        <f>SUM(G9:G18)</f>
        <v>16885.780000000002</v>
      </c>
      <c r="H19" s="41">
        <f>SUM(H9:H18)</f>
        <v>30971.42</v>
      </c>
      <c r="I19" s="41">
        <f>SUM(I9:I18)</f>
        <v>0</v>
      </c>
      <c r="J19" s="41">
        <f>SUM(J9:J18)</f>
        <v>120113.08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179844.75</v>
      </c>
      <c r="G22" s="18">
        <v>150</v>
      </c>
      <c r="H22" s="18">
        <v>30960.95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125939.19</v>
      </c>
      <c r="G23" s="18">
        <v>410.05</v>
      </c>
      <c r="H23" s="18">
        <v>0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1596.52-0.03</f>
        <v>1596.49</v>
      </c>
      <c r="G24" s="18">
        <v>0</v>
      </c>
      <c r="H24" s="18">
        <v>0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1402.86</v>
      </c>
      <c r="G28" s="18">
        <v>0</v>
      </c>
      <c r="H28" s="18">
        <v>0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1594.59</v>
      </c>
      <c r="G29" s="18">
        <v>0</v>
      </c>
      <c r="H29" s="18">
        <v>0</v>
      </c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>
        <v>2387.33</v>
      </c>
      <c r="H30" s="18">
        <v>10.47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335428.98</v>
      </c>
      <c r="G31" s="18">
        <v>0</v>
      </c>
      <c r="H31" s="18">
        <v>0</v>
      </c>
      <c r="I31" s="18"/>
      <c r="J31" s="67">
        <f>SUM(I451)</f>
        <v>14794.88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645806.86</v>
      </c>
      <c r="G32" s="41">
        <f>SUM(G22:G31)</f>
        <v>2947.38</v>
      </c>
      <c r="H32" s="41">
        <f>SUM(H22:H31)</f>
        <v>30971.420000000002</v>
      </c>
      <c r="I32" s="41">
        <f>SUM(I22:I31)</f>
        <v>0</v>
      </c>
      <c r="J32" s="41">
        <f>SUM(J22:J31)</f>
        <v>14794.88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f>9419.7+4668.7-150</f>
        <v>13938.400000000001</v>
      </c>
      <c r="H48" s="18">
        <v>0</v>
      </c>
      <c r="I48" s="18"/>
      <c r="J48" s="13">
        <f>SUM(I459)</f>
        <v>105318.2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0</v>
      </c>
      <c r="G49" s="18">
        <v>0</v>
      </c>
      <c r="H49" s="18">
        <v>0</v>
      </c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179844.75+121545.8-179850.43</f>
        <v>121540.12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121540.12</v>
      </c>
      <c r="G51" s="41">
        <f>SUM(G35:G50)</f>
        <v>13938.400000000001</v>
      </c>
      <c r="H51" s="41">
        <f>SUM(H35:H50)</f>
        <v>0</v>
      </c>
      <c r="I51" s="41">
        <f>SUM(I35:I50)</f>
        <v>0</v>
      </c>
      <c r="J51" s="41">
        <f>SUM(J35:J50)</f>
        <v>105318.2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767346.98</v>
      </c>
      <c r="G52" s="41">
        <f>G51+G32</f>
        <v>16885.780000000002</v>
      </c>
      <c r="H52" s="41">
        <f>H51+H32</f>
        <v>30971.420000000002</v>
      </c>
      <c r="I52" s="41">
        <f>I51+I32</f>
        <v>0</v>
      </c>
      <c r="J52" s="41">
        <f>J51+J32</f>
        <v>120113.08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2719338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2719338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427.42</v>
      </c>
      <c r="G96" s="18"/>
      <c r="H96" s="18"/>
      <c r="I96" s="18"/>
      <c r="J96" s="18">
        <v>9.6199999999999992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38614.129999999997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70</v>
      </c>
      <c r="G102" s="18"/>
      <c r="H102" s="18">
        <v>0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>
        <v>0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0</v>
      </c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3025.25</v>
      </c>
      <c r="G109" s="18">
        <v>0</v>
      </c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0</v>
      </c>
      <c r="G110" s="18">
        <v>121.99</v>
      </c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3522.67</v>
      </c>
      <c r="G111" s="41">
        <f>SUM(G96:G110)</f>
        <v>38736.119999999995</v>
      </c>
      <c r="H111" s="41">
        <f>SUM(H96:H110)</f>
        <v>0</v>
      </c>
      <c r="I111" s="41">
        <f>SUM(I96:I110)</f>
        <v>0</v>
      </c>
      <c r="J111" s="41">
        <f>SUM(J96:J110)</f>
        <v>9.6199999999999992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2722860.67</v>
      </c>
      <c r="G112" s="41">
        <f>G60+G111</f>
        <v>38736.119999999995</v>
      </c>
      <c r="H112" s="41">
        <f>H60+H79+H94+H111</f>
        <v>0</v>
      </c>
      <c r="I112" s="41">
        <f>I60+I111</f>
        <v>0</v>
      </c>
      <c r="J112" s="41">
        <f>J60+J111</f>
        <v>9.6199999999999992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812180.2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368908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1181088.2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0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87698.17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765.57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87698.17</v>
      </c>
      <c r="G136" s="41">
        <f>SUM(G123:G135)</f>
        <v>765.57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1268786.3699999999</v>
      </c>
      <c r="G140" s="41">
        <f>G121+SUM(G136:G137)</f>
        <v>765.57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>
        <v>3082.5</v>
      </c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5138.71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25549.82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23981.58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65528.55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58357.98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58357.98</v>
      </c>
      <c r="G162" s="41">
        <f>SUM(G150:G161)</f>
        <v>23981.58</v>
      </c>
      <c r="H162" s="41">
        <f>SUM(H150:H161)</f>
        <v>99299.58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58357.98</v>
      </c>
      <c r="G169" s="41">
        <f>G147+G162+SUM(G163:G168)</f>
        <v>23981.58</v>
      </c>
      <c r="H169" s="41">
        <f>H147+H162+SUM(H163:H168)</f>
        <v>99299.58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0</v>
      </c>
      <c r="H179" s="18"/>
      <c r="I179" s="18"/>
      <c r="J179" s="18">
        <v>65000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65000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65000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4050005.02</v>
      </c>
      <c r="G193" s="47">
        <f>G112+G140+G169+G192</f>
        <v>63483.27</v>
      </c>
      <c r="H193" s="47">
        <f>H112+H140+H169+H192</f>
        <v>99299.58</v>
      </c>
      <c r="I193" s="47">
        <f>I112+I140+I169+I192</f>
        <v>0</v>
      </c>
      <c r="J193" s="47">
        <f>J112+J140+J192</f>
        <v>65009.62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791269.49</v>
      </c>
      <c r="G197" s="18">
        <v>302373.11</v>
      </c>
      <c r="H197" s="18">
        <v>6104.27</v>
      </c>
      <c r="I197" s="18">
        <v>23409.43</v>
      </c>
      <c r="J197" s="18">
        <v>12902.34</v>
      </c>
      <c r="K197" s="18">
        <v>0</v>
      </c>
      <c r="L197" s="19">
        <f>SUM(F197:K197)</f>
        <v>1136058.6400000001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158305.75</v>
      </c>
      <c r="G198" s="18">
        <v>51611.16</v>
      </c>
      <c r="H198" s="18">
        <v>141718.01999999999</v>
      </c>
      <c r="I198" s="18">
        <v>572.46</v>
      </c>
      <c r="J198" s="18">
        <v>4387.3900000000003</v>
      </c>
      <c r="K198" s="18">
        <v>0</v>
      </c>
      <c r="L198" s="19">
        <f>SUM(F198:K198)</f>
        <v>356594.78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7789</v>
      </c>
      <c r="G200" s="18">
        <v>1107.33</v>
      </c>
      <c r="H200" s="18">
        <v>0</v>
      </c>
      <c r="I200" s="18">
        <v>237.5</v>
      </c>
      <c r="J200" s="18">
        <v>0</v>
      </c>
      <c r="K200" s="18">
        <v>0</v>
      </c>
      <c r="L200" s="19">
        <f>SUM(F200:K200)</f>
        <v>9133.83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179281.34</v>
      </c>
      <c r="G202" s="18">
        <v>82304.28</v>
      </c>
      <c r="H202" s="18">
        <v>69989.91</v>
      </c>
      <c r="I202" s="18">
        <v>1716.98</v>
      </c>
      <c r="J202" s="18">
        <v>0</v>
      </c>
      <c r="K202" s="18">
        <v>0</v>
      </c>
      <c r="L202" s="19">
        <f t="shared" ref="L202:L208" si="0">SUM(F202:K202)</f>
        <v>333292.51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64518.38</v>
      </c>
      <c r="G203" s="18">
        <v>26735</v>
      </c>
      <c r="H203" s="18">
        <v>104.74</v>
      </c>
      <c r="I203" s="18">
        <v>5889.29</v>
      </c>
      <c r="J203" s="18">
        <v>0</v>
      </c>
      <c r="K203" s="18">
        <v>0</v>
      </c>
      <c r="L203" s="19">
        <f t="shared" si="0"/>
        <v>97247.41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3489.46</v>
      </c>
      <c r="G204" s="18">
        <v>281.8</v>
      </c>
      <c r="H204" s="18">
        <v>200963.53</v>
      </c>
      <c r="I204" s="18">
        <v>347.68</v>
      </c>
      <c r="J204" s="18">
        <v>0</v>
      </c>
      <c r="K204" s="18">
        <v>3005.61</v>
      </c>
      <c r="L204" s="19">
        <f t="shared" si="0"/>
        <v>208088.08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137632.84</v>
      </c>
      <c r="G205" s="18">
        <v>74814.600000000006</v>
      </c>
      <c r="H205" s="18">
        <v>2536.7800000000002</v>
      </c>
      <c r="I205" s="18">
        <v>1298.99</v>
      </c>
      <c r="J205" s="18">
        <v>1204</v>
      </c>
      <c r="K205" s="18">
        <v>750</v>
      </c>
      <c r="L205" s="19">
        <f t="shared" si="0"/>
        <v>218237.21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85476.94</v>
      </c>
      <c r="G207" s="18">
        <v>37107.78</v>
      </c>
      <c r="H207" s="18">
        <v>199146.56</v>
      </c>
      <c r="I207" s="18">
        <v>96089.47</v>
      </c>
      <c r="J207" s="18">
        <v>0</v>
      </c>
      <c r="K207" s="18">
        <v>0</v>
      </c>
      <c r="L207" s="19">
        <f t="shared" si="0"/>
        <v>417820.75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0</v>
      </c>
      <c r="G208" s="18">
        <v>0</v>
      </c>
      <c r="H208" s="18">
        <v>142045.85</v>
      </c>
      <c r="I208" s="18">
        <v>0</v>
      </c>
      <c r="J208" s="18">
        <v>0</v>
      </c>
      <c r="K208" s="18">
        <v>0</v>
      </c>
      <c r="L208" s="19">
        <f t="shared" si="0"/>
        <v>142045.85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0</v>
      </c>
      <c r="G209" s="18">
        <v>0</v>
      </c>
      <c r="H209" s="18">
        <v>14407.33</v>
      </c>
      <c r="I209" s="18">
        <v>4753.87</v>
      </c>
      <c r="J209" s="18">
        <v>15338.06</v>
      </c>
      <c r="K209" s="18">
        <v>0</v>
      </c>
      <c r="L209" s="19">
        <f>SUM(F209:K209)</f>
        <v>34499.26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1427763.2</v>
      </c>
      <c r="G211" s="41">
        <f t="shared" si="1"/>
        <v>576335.06000000006</v>
      </c>
      <c r="H211" s="41">
        <f t="shared" si="1"/>
        <v>777016.99</v>
      </c>
      <c r="I211" s="41">
        <f t="shared" si="1"/>
        <v>134315.67000000001</v>
      </c>
      <c r="J211" s="41">
        <f t="shared" si="1"/>
        <v>33831.79</v>
      </c>
      <c r="K211" s="41">
        <f t="shared" si="1"/>
        <v>3755.61</v>
      </c>
      <c r="L211" s="41">
        <f t="shared" si="1"/>
        <v>2953018.32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>
        <v>1189003.47</v>
      </c>
      <c r="I215" s="18"/>
      <c r="J215" s="18"/>
      <c r="K215" s="18"/>
      <c r="L215" s="19">
        <f>SUM(F215:K215)</f>
        <v>1189003.47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>
        <v>2182.6</v>
      </c>
      <c r="I216" s="18"/>
      <c r="J216" s="18"/>
      <c r="K216" s="18"/>
      <c r="L216" s="19">
        <f>SUM(F216:K216)</f>
        <v>2182.6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>
        <v>1332</v>
      </c>
      <c r="I220" s="18"/>
      <c r="J220" s="18"/>
      <c r="K220" s="18"/>
      <c r="L220" s="19">
        <f t="shared" ref="L220:L226" si="2">SUM(F220:K220)</f>
        <v>1332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1292</v>
      </c>
      <c r="I226" s="18"/>
      <c r="J226" s="18"/>
      <c r="K226" s="18"/>
      <c r="L226" s="19">
        <f t="shared" si="2"/>
        <v>1292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1193810.07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1193810.07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>
        <v>0</v>
      </c>
      <c r="G255" s="18">
        <v>0</v>
      </c>
      <c r="H255" s="18">
        <v>0</v>
      </c>
      <c r="I255" s="18">
        <v>0</v>
      </c>
      <c r="J255" s="18">
        <v>0</v>
      </c>
      <c r="K255" s="18">
        <v>0</v>
      </c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1427763.2</v>
      </c>
      <c r="G257" s="41">
        <f t="shared" si="8"/>
        <v>576335.06000000006</v>
      </c>
      <c r="H257" s="41">
        <f t="shared" si="8"/>
        <v>1970827.06</v>
      </c>
      <c r="I257" s="41">
        <f t="shared" si="8"/>
        <v>134315.67000000001</v>
      </c>
      <c r="J257" s="41">
        <f t="shared" si="8"/>
        <v>33831.79</v>
      </c>
      <c r="K257" s="41">
        <f t="shared" si="8"/>
        <v>3755.61</v>
      </c>
      <c r="L257" s="41">
        <f t="shared" si="8"/>
        <v>4146828.3899999997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0</v>
      </c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0</v>
      </c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0</v>
      </c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65000</v>
      </c>
      <c r="L266" s="19">
        <f t="shared" si="9"/>
        <v>65000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65000</v>
      </c>
      <c r="L270" s="41">
        <f t="shared" si="9"/>
        <v>65000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1427763.2</v>
      </c>
      <c r="G271" s="42">
        <f t="shared" si="11"/>
        <v>576335.06000000006</v>
      </c>
      <c r="H271" s="42">
        <f t="shared" si="11"/>
        <v>1970827.06</v>
      </c>
      <c r="I271" s="42">
        <f t="shared" si="11"/>
        <v>134315.67000000001</v>
      </c>
      <c r="J271" s="42">
        <f t="shared" si="11"/>
        <v>33831.79</v>
      </c>
      <c r="K271" s="42">
        <f t="shared" si="11"/>
        <v>68755.61</v>
      </c>
      <c r="L271" s="42">
        <f t="shared" si="11"/>
        <v>4211828.3899999997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6262.5</v>
      </c>
      <c r="G276" s="18">
        <v>988.92</v>
      </c>
      <c r="H276" s="18">
        <v>1265</v>
      </c>
      <c r="I276" s="18">
        <v>27</v>
      </c>
      <c r="J276" s="18">
        <v>0</v>
      </c>
      <c r="K276" s="18">
        <v>0</v>
      </c>
      <c r="L276" s="19">
        <f>SUM(F276:K276)</f>
        <v>8543.42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55210</v>
      </c>
      <c r="G277" s="18">
        <v>10016.75</v>
      </c>
      <c r="H277" s="18">
        <v>250</v>
      </c>
      <c r="I277" s="18">
        <v>51.8</v>
      </c>
      <c r="J277" s="18">
        <v>0</v>
      </c>
      <c r="K277" s="18">
        <v>0</v>
      </c>
      <c r="L277" s="19">
        <f>SUM(F277:K277)</f>
        <v>65528.55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>
        <v>0</v>
      </c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0</v>
      </c>
      <c r="G281" s="18">
        <v>0</v>
      </c>
      <c r="H281" s="18">
        <v>0</v>
      </c>
      <c r="I281" s="18">
        <v>767.75</v>
      </c>
      <c r="J281" s="18">
        <v>0</v>
      </c>
      <c r="K281" s="18">
        <v>0</v>
      </c>
      <c r="L281" s="19">
        <f t="shared" ref="L281:L287" si="12">SUM(F281:K281)</f>
        <v>767.75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5075</v>
      </c>
      <c r="G282" s="18">
        <v>1007.73</v>
      </c>
      <c r="H282" s="18">
        <v>15954.85</v>
      </c>
      <c r="I282" s="18">
        <v>2344.2800000000002</v>
      </c>
      <c r="J282" s="18">
        <v>0</v>
      </c>
      <c r="K282" s="18">
        <v>0</v>
      </c>
      <c r="L282" s="19">
        <f t="shared" si="12"/>
        <v>24381.86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0</v>
      </c>
      <c r="G283" s="18">
        <v>0</v>
      </c>
      <c r="H283" s="18">
        <v>78</v>
      </c>
      <c r="I283" s="18">
        <v>0</v>
      </c>
      <c r="J283" s="18">
        <v>0</v>
      </c>
      <c r="K283" s="18">
        <v>0</v>
      </c>
      <c r="L283" s="19">
        <f t="shared" si="12"/>
        <v>78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66547.5</v>
      </c>
      <c r="G290" s="42">
        <f t="shared" si="13"/>
        <v>12013.4</v>
      </c>
      <c r="H290" s="42">
        <f t="shared" si="13"/>
        <v>17547.849999999999</v>
      </c>
      <c r="I290" s="42">
        <f t="shared" si="13"/>
        <v>3190.83</v>
      </c>
      <c r="J290" s="42">
        <f t="shared" si="13"/>
        <v>0</v>
      </c>
      <c r="K290" s="42">
        <f t="shared" si="13"/>
        <v>0</v>
      </c>
      <c r="L290" s="41">
        <f t="shared" si="13"/>
        <v>99299.58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66547.5</v>
      </c>
      <c r="G338" s="41">
        <f t="shared" si="20"/>
        <v>12013.4</v>
      </c>
      <c r="H338" s="41">
        <f t="shared" si="20"/>
        <v>17547.849999999999</v>
      </c>
      <c r="I338" s="41">
        <f t="shared" si="20"/>
        <v>3190.83</v>
      </c>
      <c r="J338" s="41">
        <f t="shared" si="20"/>
        <v>0</v>
      </c>
      <c r="K338" s="41">
        <f t="shared" si="20"/>
        <v>0</v>
      </c>
      <c r="L338" s="41">
        <f t="shared" si="20"/>
        <v>99299.58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66547.5</v>
      </c>
      <c r="G352" s="41">
        <f>G338</f>
        <v>12013.4</v>
      </c>
      <c r="H352" s="41">
        <f>H338</f>
        <v>17547.849999999999</v>
      </c>
      <c r="I352" s="41">
        <f>I338</f>
        <v>3190.83</v>
      </c>
      <c r="J352" s="41">
        <f>J338</f>
        <v>0</v>
      </c>
      <c r="K352" s="47">
        <f>K338+K351</f>
        <v>0</v>
      </c>
      <c r="L352" s="41">
        <f>L338+L351</f>
        <v>99299.58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24109.52</v>
      </c>
      <c r="G358" s="18">
        <v>2874.66</v>
      </c>
      <c r="H358" s="18">
        <v>1156.07</v>
      </c>
      <c r="I358" s="18">
        <v>30612.97</v>
      </c>
      <c r="J358" s="18">
        <v>0</v>
      </c>
      <c r="K358" s="18">
        <v>211.35</v>
      </c>
      <c r="L358" s="13">
        <f>SUM(F358:K358)</f>
        <v>58964.57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24109.52</v>
      </c>
      <c r="G362" s="47">
        <f t="shared" si="22"/>
        <v>2874.66</v>
      </c>
      <c r="H362" s="47">
        <f t="shared" si="22"/>
        <v>1156.07</v>
      </c>
      <c r="I362" s="47">
        <f t="shared" si="22"/>
        <v>30612.97</v>
      </c>
      <c r="J362" s="47">
        <f t="shared" si="22"/>
        <v>0</v>
      </c>
      <c r="K362" s="47">
        <f t="shared" si="22"/>
        <v>211.35</v>
      </c>
      <c r="L362" s="47">
        <f t="shared" si="22"/>
        <v>58964.57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18787.65+8949.6</f>
        <v>27737.25</v>
      </c>
      <c r="G367" s="18"/>
      <c r="H367" s="18"/>
      <c r="I367" s="56">
        <f>SUM(F367:H367)</f>
        <v>27737.25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2875.72</v>
      </c>
      <c r="G368" s="63"/>
      <c r="H368" s="63"/>
      <c r="I368" s="56">
        <f>SUM(F368:H368)</f>
        <v>2875.72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30612.97</v>
      </c>
      <c r="G369" s="47">
        <f>SUM(G367:G368)</f>
        <v>0</v>
      </c>
      <c r="H369" s="47">
        <f>SUM(H367:H368)</f>
        <v>0</v>
      </c>
      <c r="I369" s="47">
        <f>SUM(I367:I368)</f>
        <v>30612.97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65000</v>
      </c>
      <c r="H396" s="18">
        <v>5.93</v>
      </c>
      <c r="I396" s="18"/>
      <c r="J396" s="24" t="s">
        <v>289</v>
      </c>
      <c r="K396" s="24" t="s">
        <v>289</v>
      </c>
      <c r="L396" s="56">
        <f t="shared" si="26"/>
        <v>65005.93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f>1.87+1.82</f>
        <v>3.6900000000000004</v>
      </c>
      <c r="I400" s="18"/>
      <c r="J400" s="24" t="s">
        <v>289</v>
      </c>
      <c r="K400" s="24" t="s">
        <v>289</v>
      </c>
      <c r="L400" s="56">
        <f t="shared" si="26"/>
        <v>3.6900000000000004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65000</v>
      </c>
      <c r="H401" s="47">
        <f>SUM(H395:H400)</f>
        <v>9.620000000000001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65009.62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65000</v>
      </c>
      <c r="H408" s="47">
        <f>H393+H401+H407</f>
        <v>9.620000000000001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65009.62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>
        <v>10837.91</v>
      </c>
      <c r="I422" s="18"/>
      <c r="J422" s="18"/>
      <c r="K422" s="18"/>
      <c r="L422" s="56">
        <f t="shared" si="29"/>
        <v>10837.91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10837.91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10837.91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 t="s">
        <v>912</v>
      </c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10837.91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10837.91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>
        <v>14794.88</v>
      </c>
      <c r="I439" s="56">
        <f t="shared" ref="I439:I445" si="33">SUM(F439:H439)</f>
        <v>14794.88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>
        <v>105318.2</v>
      </c>
      <c r="H442" s="18"/>
      <c r="I442" s="56">
        <f t="shared" si="33"/>
        <v>105318.2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105318.2</v>
      </c>
      <c r="H446" s="13">
        <f>SUM(H439:H445)</f>
        <v>14794.88</v>
      </c>
      <c r="I446" s="13">
        <f>SUM(I439:I445)</f>
        <v>120113.08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>
        <v>14794.88</v>
      </c>
      <c r="I451" s="56">
        <f>SUM(F451:H451)</f>
        <v>14794.88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14794.88</v>
      </c>
      <c r="I452" s="72">
        <f>SUM(I448:I451)</f>
        <v>14794.88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105318.2</v>
      </c>
      <c r="H459" s="18"/>
      <c r="I459" s="56">
        <f t="shared" si="34"/>
        <v>105318.2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105318.2</v>
      </c>
      <c r="H460" s="83">
        <f>SUM(H454:H459)</f>
        <v>0</v>
      </c>
      <c r="I460" s="83">
        <f>SUM(I454:I459)</f>
        <v>105318.2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105318.2</v>
      </c>
      <c r="H461" s="42">
        <f>H452+H460</f>
        <v>14794.88</v>
      </c>
      <c r="I461" s="42">
        <f>I452+I460</f>
        <v>120113.08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283363.49</v>
      </c>
      <c r="G465" s="18">
        <v>9419.7000000000007</v>
      </c>
      <c r="H465" s="18">
        <v>0</v>
      </c>
      <c r="I465" s="18">
        <v>0</v>
      </c>
      <c r="J465" s="18">
        <v>51146.49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4050005.02</v>
      </c>
      <c r="G468" s="18">
        <f t="shared" ref="G468:J468" si="35">G193</f>
        <v>63483.27</v>
      </c>
      <c r="H468" s="18">
        <f t="shared" si="35"/>
        <v>99299.58</v>
      </c>
      <c r="I468" s="18">
        <f t="shared" si="35"/>
        <v>0</v>
      </c>
      <c r="J468" s="18">
        <f t="shared" si="35"/>
        <v>65009.62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4050005.02</v>
      </c>
      <c r="G470" s="53">
        <f>SUM(G468:G469)</f>
        <v>63483.27</v>
      </c>
      <c r="H470" s="53">
        <f>SUM(H468:H469)</f>
        <v>99299.58</v>
      </c>
      <c r="I470" s="53">
        <f>SUM(I468:I469)</f>
        <v>0</v>
      </c>
      <c r="J470" s="53">
        <f>SUM(J468:J469)</f>
        <v>65009.62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4211828.3899999997</v>
      </c>
      <c r="G472" s="18">
        <f>L362</f>
        <v>58964.57</v>
      </c>
      <c r="H472" s="18">
        <f>L352</f>
        <v>99299.58</v>
      </c>
      <c r="I472" s="18">
        <f>L382</f>
        <v>0</v>
      </c>
      <c r="J472" s="18">
        <f>L434</f>
        <v>10837.91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4211828.3899999997</v>
      </c>
      <c r="G474" s="53">
        <f>SUM(G472:G473)</f>
        <v>58964.57</v>
      </c>
      <c r="H474" s="53">
        <f>SUM(H472:H473)</f>
        <v>99299.58</v>
      </c>
      <c r="I474" s="53">
        <f>SUM(I472:I473)</f>
        <v>0</v>
      </c>
      <c r="J474" s="53">
        <f>SUM(J472:J473)</f>
        <v>10837.91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121540.12000000011</v>
      </c>
      <c r="G476" s="53">
        <f>(G465+G470)- G474</f>
        <v>13938.400000000001</v>
      </c>
      <c r="H476" s="53">
        <f>(H465+H470)- H474</f>
        <v>0</v>
      </c>
      <c r="I476" s="53">
        <f>(I465+I470)- I474</f>
        <v>0</v>
      </c>
      <c r="J476" s="53">
        <f>(J465+J470)- J474</f>
        <v>105318.2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6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6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6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6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6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6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6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6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213515.75-6031.87</f>
        <v>207483.88</v>
      </c>
      <c r="G521" s="18">
        <f>61627.91-589.04</f>
        <v>61038.87</v>
      </c>
      <c r="H521" s="18">
        <v>141968.01999999999</v>
      </c>
      <c r="I521" s="18">
        <v>624.26</v>
      </c>
      <c r="J521" s="18">
        <v>4387.3900000000003</v>
      </c>
      <c r="K521" s="18">
        <v>0</v>
      </c>
      <c r="L521" s="88">
        <f>SUM(F521:K521)</f>
        <v>415502.42000000004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0</v>
      </c>
      <c r="G522" s="18">
        <v>0</v>
      </c>
      <c r="H522" s="18">
        <v>2182.6</v>
      </c>
      <c r="I522" s="18">
        <v>0</v>
      </c>
      <c r="J522" s="18">
        <v>0</v>
      </c>
      <c r="K522" s="18">
        <v>0</v>
      </c>
      <c r="L522" s="88">
        <f>SUM(F522:K522)</f>
        <v>2182.6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207483.88</v>
      </c>
      <c r="G524" s="108">
        <f t="shared" ref="G524:L524" si="37">SUM(G521:G523)</f>
        <v>61038.87</v>
      </c>
      <c r="H524" s="108">
        <f t="shared" si="37"/>
        <v>144150.62</v>
      </c>
      <c r="I524" s="108">
        <f t="shared" si="37"/>
        <v>624.26</v>
      </c>
      <c r="J524" s="108">
        <f t="shared" si="37"/>
        <v>4387.3900000000003</v>
      </c>
      <c r="K524" s="108">
        <f t="shared" si="37"/>
        <v>0</v>
      </c>
      <c r="L524" s="89">
        <f t="shared" si="37"/>
        <v>417685.02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84495.54</v>
      </c>
      <c r="G526" s="18">
        <v>41019.550000000003</v>
      </c>
      <c r="H526" s="18">
        <v>68088.429999999993</v>
      </c>
      <c r="I526" s="18">
        <v>594.92999999999995</v>
      </c>
      <c r="J526" s="18">
        <v>0</v>
      </c>
      <c r="K526" s="18">
        <v>0</v>
      </c>
      <c r="L526" s="88">
        <f>SUM(F526:K526)</f>
        <v>194198.44999999998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>
        <v>1332</v>
      </c>
      <c r="I527" s="18"/>
      <c r="J527" s="18"/>
      <c r="K527" s="18"/>
      <c r="L527" s="88">
        <f>SUM(F527:K527)</f>
        <v>1332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84495.54</v>
      </c>
      <c r="G529" s="89">
        <f t="shared" ref="G529:L529" si="38">SUM(G526:G528)</f>
        <v>41019.550000000003</v>
      </c>
      <c r="H529" s="89">
        <f t="shared" si="38"/>
        <v>69420.429999999993</v>
      </c>
      <c r="I529" s="89">
        <f t="shared" si="38"/>
        <v>594.92999999999995</v>
      </c>
      <c r="J529" s="89">
        <f t="shared" si="38"/>
        <v>0</v>
      </c>
      <c r="K529" s="89">
        <f t="shared" si="38"/>
        <v>0</v>
      </c>
      <c r="L529" s="89">
        <f t="shared" si="38"/>
        <v>195530.44999999998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6031.87</v>
      </c>
      <c r="G531" s="18">
        <v>589.04</v>
      </c>
      <c r="H531" s="18">
        <v>5402.02</v>
      </c>
      <c r="I531" s="18"/>
      <c r="J531" s="18"/>
      <c r="K531" s="18"/>
      <c r="L531" s="88">
        <f>SUM(F531:K531)</f>
        <v>12022.93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6031.87</v>
      </c>
      <c r="G534" s="89">
        <f t="shared" ref="G534:L534" si="39">SUM(G531:G533)</f>
        <v>589.04</v>
      </c>
      <c r="H534" s="89">
        <f t="shared" si="39"/>
        <v>5402.02</v>
      </c>
      <c r="I534" s="89">
        <f t="shared" si="39"/>
        <v>0</v>
      </c>
      <c r="J534" s="89">
        <f t="shared" si="39"/>
        <v>0</v>
      </c>
      <c r="K534" s="89">
        <f t="shared" si="39"/>
        <v>0</v>
      </c>
      <c r="L534" s="89">
        <f t="shared" si="39"/>
        <v>12022.93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4232.45</v>
      </c>
      <c r="I536" s="18"/>
      <c r="J536" s="18"/>
      <c r="K536" s="18"/>
      <c r="L536" s="88">
        <f>SUM(F536:K536)</f>
        <v>4232.45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40">SUM(G536:G538)</f>
        <v>0</v>
      </c>
      <c r="H539" s="89">
        <f t="shared" si="40"/>
        <v>4232.45</v>
      </c>
      <c r="I539" s="89">
        <f t="shared" si="40"/>
        <v>0</v>
      </c>
      <c r="J539" s="89">
        <f t="shared" si="40"/>
        <v>0</v>
      </c>
      <c r="K539" s="89">
        <f t="shared" si="40"/>
        <v>0</v>
      </c>
      <c r="L539" s="89">
        <f t="shared" si="40"/>
        <v>4232.45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30565.279999999999</v>
      </c>
      <c r="I541" s="18"/>
      <c r="J541" s="18"/>
      <c r="K541" s="18"/>
      <c r="L541" s="88">
        <f>SUM(F541:K541)</f>
        <v>30565.279999999999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1292</v>
      </c>
      <c r="I542" s="18"/>
      <c r="J542" s="18"/>
      <c r="K542" s="18"/>
      <c r="L542" s="88">
        <f>SUM(F542:K542)</f>
        <v>1292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1">SUM(G541:G543)</f>
        <v>0</v>
      </c>
      <c r="H544" s="193">
        <f t="shared" si="41"/>
        <v>31857.279999999999</v>
      </c>
      <c r="I544" s="193">
        <f t="shared" si="41"/>
        <v>0</v>
      </c>
      <c r="J544" s="193">
        <f t="shared" si="41"/>
        <v>0</v>
      </c>
      <c r="K544" s="193">
        <f t="shared" si="41"/>
        <v>0</v>
      </c>
      <c r="L544" s="193">
        <f t="shared" si="41"/>
        <v>31857.279999999999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298011.28999999998</v>
      </c>
      <c r="G545" s="89">
        <f t="shared" ref="G545:L545" si="42">G524+G529+G534+G539+G544</f>
        <v>102647.46</v>
      </c>
      <c r="H545" s="89">
        <f t="shared" si="42"/>
        <v>255062.8</v>
      </c>
      <c r="I545" s="89">
        <f t="shared" si="42"/>
        <v>1219.19</v>
      </c>
      <c r="J545" s="89">
        <f t="shared" si="42"/>
        <v>4387.3900000000003</v>
      </c>
      <c r="K545" s="89">
        <f t="shared" si="42"/>
        <v>0</v>
      </c>
      <c r="L545" s="89">
        <f t="shared" si="42"/>
        <v>661328.13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415502.42000000004</v>
      </c>
      <c r="G549" s="87">
        <f>L526</f>
        <v>194198.44999999998</v>
      </c>
      <c r="H549" s="87">
        <f>L531</f>
        <v>12022.93</v>
      </c>
      <c r="I549" s="87">
        <f>L536</f>
        <v>4232.45</v>
      </c>
      <c r="J549" s="87">
        <f>L541</f>
        <v>30565.279999999999</v>
      </c>
      <c r="K549" s="87">
        <f>SUM(F549:J549)</f>
        <v>656521.53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2182.6</v>
      </c>
      <c r="G550" s="87">
        <f>L527</f>
        <v>1332</v>
      </c>
      <c r="H550" s="87">
        <f>L532</f>
        <v>0</v>
      </c>
      <c r="I550" s="87">
        <f>L537</f>
        <v>0</v>
      </c>
      <c r="J550" s="87">
        <f>L542</f>
        <v>1292</v>
      </c>
      <c r="K550" s="87">
        <f>SUM(F550:J550)</f>
        <v>4806.6000000000004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3">SUM(F549:F551)</f>
        <v>417685.02</v>
      </c>
      <c r="G552" s="89">
        <f t="shared" si="43"/>
        <v>195530.44999999998</v>
      </c>
      <c r="H552" s="89">
        <f t="shared" si="43"/>
        <v>12022.93</v>
      </c>
      <c r="I552" s="89">
        <f t="shared" si="43"/>
        <v>4232.45</v>
      </c>
      <c r="J552" s="89">
        <f t="shared" si="43"/>
        <v>31857.279999999999</v>
      </c>
      <c r="K552" s="89">
        <f t="shared" si="43"/>
        <v>661328.13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4">SUM(F557:F559)</f>
        <v>0</v>
      </c>
      <c r="G560" s="108">
        <f t="shared" si="44"/>
        <v>0</v>
      </c>
      <c r="H560" s="108">
        <f t="shared" si="44"/>
        <v>0</v>
      </c>
      <c r="I560" s="108">
        <f t="shared" si="44"/>
        <v>0</v>
      </c>
      <c r="J560" s="108">
        <f t="shared" si="44"/>
        <v>0</v>
      </c>
      <c r="K560" s="108">
        <f t="shared" si="44"/>
        <v>0</v>
      </c>
      <c r="L560" s="89">
        <f t="shared" si="44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5">SUM(F562:F564)</f>
        <v>0</v>
      </c>
      <c r="G565" s="89">
        <f t="shared" si="45"/>
        <v>0</v>
      </c>
      <c r="H565" s="89">
        <f t="shared" si="45"/>
        <v>0</v>
      </c>
      <c r="I565" s="89">
        <f t="shared" si="45"/>
        <v>0</v>
      </c>
      <c r="J565" s="89">
        <f t="shared" si="45"/>
        <v>0</v>
      </c>
      <c r="K565" s="89">
        <f t="shared" si="45"/>
        <v>0</v>
      </c>
      <c r="L565" s="89">
        <f t="shared" si="45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6">SUM(G567:G569)</f>
        <v>0</v>
      </c>
      <c r="H570" s="193">
        <f t="shared" si="46"/>
        <v>0</v>
      </c>
      <c r="I570" s="193">
        <f t="shared" si="46"/>
        <v>0</v>
      </c>
      <c r="J570" s="193">
        <f t="shared" si="46"/>
        <v>0</v>
      </c>
      <c r="K570" s="193">
        <f t="shared" si="46"/>
        <v>0</v>
      </c>
      <c r="L570" s="193">
        <f t="shared" si="46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7">G560+G565+G570</f>
        <v>0</v>
      </c>
      <c r="H571" s="89">
        <f t="shared" si="47"/>
        <v>0</v>
      </c>
      <c r="I571" s="89">
        <f t="shared" si="47"/>
        <v>0</v>
      </c>
      <c r="J571" s="89">
        <f t="shared" si="47"/>
        <v>0</v>
      </c>
      <c r="K571" s="89">
        <f t="shared" si="47"/>
        <v>0</v>
      </c>
      <c r="L571" s="89">
        <f t="shared" si="47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>
        <v>1189003.47</v>
      </c>
      <c r="H575" s="18"/>
      <c r="I575" s="87">
        <f>SUM(F575:H575)</f>
        <v>1189003.47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8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8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8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8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8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8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36321.699999999997</v>
      </c>
      <c r="G582" s="18"/>
      <c r="H582" s="18"/>
      <c r="I582" s="87">
        <f t="shared" si="48"/>
        <v>36321.699999999997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8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8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8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8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8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108058.5</v>
      </c>
      <c r="I591" s="18">
        <v>0</v>
      </c>
      <c r="J591" s="18"/>
      <c r="K591" s="104">
        <f t="shared" ref="K591:K597" si="49">SUM(H591:J591)</f>
        <v>108058.5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30565.279999999999</v>
      </c>
      <c r="I592" s="18">
        <v>1292</v>
      </c>
      <c r="J592" s="18"/>
      <c r="K592" s="104">
        <f t="shared" si="49"/>
        <v>31857.279999999999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9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9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3422.07</v>
      </c>
      <c r="I595" s="18"/>
      <c r="J595" s="18"/>
      <c r="K595" s="104">
        <f t="shared" si="49"/>
        <v>3422.07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9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9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142045.85</v>
      </c>
      <c r="I598" s="108">
        <f>SUM(I591:I597)</f>
        <v>1292</v>
      </c>
      <c r="J598" s="108">
        <f>SUM(J591:J597)</f>
        <v>0</v>
      </c>
      <c r="K598" s="108">
        <f>SUM(K591:K597)</f>
        <v>143337.85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>
        <v>0</v>
      </c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>
        <v>0</v>
      </c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33831.79</v>
      </c>
      <c r="I604" s="18"/>
      <c r="J604" s="18"/>
      <c r="K604" s="104">
        <f>SUM(H604:J604)</f>
        <v>33831.79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33831.79</v>
      </c>
      <c r="I605" s="108">
        <f>SUM(I602:I604)</f>
        <v>0</v>
      </c>
      <c r="J605" s="108">
        <f>SUM(J602:J604)</f>
        <v>0</v>
      </c>
      <c r="K605" s="108">
        <f>SUM(K602:K604)</f>
        <v>33831.79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f>700+3600</f>
        <v>4300</v>
      </c>
      <c r="G611" s="18">
        <f>328.95+509.76</f>
        <v>838.71</v>
      </c>
      <c r="H611" s="18"/>
      <c r="I611" s="18"/>
      <c r="J611" s="18"/>
      <c r="K611" s="18"/>
      <c r="L611" s="88">
        <f>SUM(F611:K611)</f>
        <v>5138.71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50">SUM(F611:F613)</f>
        <v>4300</v>
      </c>
      <c r="G614" s="108">
        <f t="shared" si="50"/>
        <v>838.71</v>
      </c>
      <c r="H614" s="108">
        <f t="shared" si="50"/>
        <v>0</v>
      </c>
      <c r="I614" s="108">
        <f t="shared" si="50"/>
        <v>0</v>
      </c>
      <c r="J614" s="108">
        <f t="shared" si="50"/>
        <v>0</v>
      </c>
      <c r="K614" s="108">
        <f t="shared" si="50"/>
        <v>0</v>
      </c>
      <c r="L614" s="89">
        <f t="shared" si="50"/>
        <v>5138.71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767346.98</v>
      </c>
      <c r="H617" s="109">
        <f>SUM(F52)</f>
        <v>767346.98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16885.780000000002</v>
      </c>
      <c r="H618" s="109">
        <f>SUM(G52)</f>
        <v>16885.780000000002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30971.42</v>
      </c>
      <c r="H619" s="109">
        <f>SUM(H52)</f>
        <v>30971.420000000002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120113.08</v>
      </c>
      <c r="H621" s="109">
        <f>SUM(J52)</f>
        <v>120113.08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121540.12</v>
      </c>
      <c r="H622" s="109">
        <f>F476</f>
        <v>121540.12000000011</v>
      </c>
      <c r="I622" s="121" t="s">
        <v>101</v>
      </c>
      <c r="J622" s="109">
        <f t="shared" ref="J622:J655" si="51">G622-H622</f>
        <v>-1.1641532182693481E-10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13938.400000000001</v>
      </c>
      <c r="H623" s="109">
        <f>G476</f>
        <v>13938.400000000001</v>
      </c>
      <c r="I623" s="121" t="s">
        <v>102</v>
      </c>
      <c r="J623" s="109">
        <f t="shared" si="51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1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1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105318.2</v>
      </c>
      <c r="H626" s="109">
        <f>J476</f>
        <v>105318.2</v>
      </c>
      <c r="I626" s="140" t="s">
        <v>105</v>
      </c>
      <c r="J626" s="109">
        <f t="shared" si="51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4050005.02</v>
      </c>
      <c r="H627" s="104">
        <f>SUM(F468)</f>
        <v>4050005.02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63483.27</v>
      </c>
      <c r="H628" s="104">
        <f>SUM(G468)</f>
        <v>63483.27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99299.58</v>
      </c>
      <c r="H629" s="104">
        <f>SUM(H468)</f>
        <v>99299.58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65009.62</v>
      </c>
      <c r="H631" s="104">
        <f>SUM(J468)</f>
        <v>65009.62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4211828.3899999997</v>
      </c>
      <c r="H632" s="104">
        <f>SUM(F472)</f>
        <v>4211828.3899999997</v>
      </c>
      <c r="I632" s="140" t="s">
        <v>111</v>
      </c>
      <c r="J632" s="109">
        <f t="shared" si="51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99299.58</v>
      </c>
      <c r="H633" s="104">
        <f>SUM(H472)</f>
        <v>99299.58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30612.97</v>
      </c>
      <c r="H634" s="104">
        <f>I369</f>
        <v>30612.97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58964.57</v>
      </c>
      <c r="H635" s="104">
        <f>SUM(G472)</f>
        <v>58964.57</v>
      </c>
      <c r="I635" s="140" t="s">
        <v>114</v>
      </c>
      <c r="J635" s="109">
        <f t="shared" si="51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1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65009.62</v>
      </c>
      <c r="H637" s="164">
        <f>SUM(J468)</f>
        <v>65009.62</v>
      </c>
      <c r="I637" s="165" t="s">
        <v>110</v>
      </c>
      <c r="J637" s="151">
        <f t="shared" si="51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10837.91</v>
      </c>
      <c r="H638" s="164">
        <f>SUM(J472)</f>
        <v>10837.91</v>
      </c>
      <c r="I638" s="165" t="s">
        <v>117</v>
      </c>
      <c r="J638" s="151">
        <f t="shared" si="51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1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105318.2</v>
      </c>
      <c r="H640" s="104">
        <f>SUM(G461)</f>
        <v>105318.2</v>
      </c>
      <c r="I640" s="140" t="s">
        <v>858</v>
      </c>
      <c r="J640" s="109">
        <f t="shared" si="51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14794.88</v>
      </c>
      <c r="H641" s="104">
        <f>SUM(H461)</f>
        <v>14794.88</v>
      </c>
      <c r="I641" s="140" t="s">
        <v>859</v>
      </c>
      <c r="J641" s="109">
        <f t="shared" si="51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120113.08</v>
      </c>
      <c r="H642" s="104">
        <f>SUM(I461)</f>
        <v>120113.08</v>
      </c>
      <c r="I642" s="140" t="s">
        <v>860</v>
      </c>
      <c r="J642" s="109">
        <f t="shared" si="51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1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9.6199999999999992</v>
      </c>
      <c r="H644" s="104">
        <f>H408</f>
        <v>9.620000000000001</v>
      </c>
      <c r="I644" s="140" t="s">
        <v>481</v>
      </c>
      <c r="J644" s="109">
        <f t="shared" si="51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65000</v>
      </c>
      <c r="H645" s="104">
        <f>G408</f>
        <v>65000</v>
      </c>
      <c r="I645" s="140" t="s">
        <v>482</v>
      </c>
      <c r="J645" s="109">
        <f t="shared" si="51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65009.62</v>
      </c>
      <c r="H646" s="104">
        <f>L408</f>
        <v>65009.62</v>
      </c>
      <c r="I646" s="140" t="s">
        <v>478</v>
      </c>
      <c r="J646" s="109">
        <f t="shared" si="51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143337.85</v>
      </c>
      <c r="H647" s="104">
        <f>L208+L226+L244</f>
        <v>143337.85</v>
      </c>
      <c r="I647" s="140" t="s">
        <v>397</v>
      </c>
      <c r="J647" s="109">
        <f t="shared" si="51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33831.79</v>
      </c>
      <c r="H648" s="104">
        <f>(J257+J338)-(J255+J336)</f>
        <v>33831.79</v>
      </c>
      <c r="I648" s="140" t="s">
        <v>703</v>
      </c>
      <c r="J648" s="109">
        <f t="shared" si="51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142045.85</v>
      </c>
      <c r="H649" s="104">
        <f>H598</f>
        <v>142045.85</v>
      </c>
      <c r="I649" s="140" t="s">
        <v>389</v>
      </c>
      <c r="J649" s="109">
        <f t="shared" si="51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1292</v>
      </c>
      <c r="H650" s="104">
        <f>I598</f>
        <v>1292</v>
      </c>
      <c r="I650" s="140" t="s">
        <v>390</v>
      </c>
      <c r="J650" s="109">
        <f t="shared" si="51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1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1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1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1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65000</v>
      </c>
      <c r="H655" s="104">
        <f>K266+K347</f>
        <v>65000</v>
      </c>
      <c r="I655" s="140" t="s">
        <v>401</v>
      </c>
      <c r="J655" s="109">
        <f t="shared" si="51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3111282.4699999997</v>
      </c>
      <c r="G660" s="19">
        <f>(L229+L309+L359)</f>
        <v>1193810.07</v>
      </c>
      <c r="H660" s="19">
        <f>(L247+L328+L360)</f>
        <v>0</v>
      </c>
      <c r="I660" s="19">
        <f>SUM(F660:H660)</f>
        <v>4305092.54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38736.119999999995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38736.119999999995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142045.85</v>
      </c>
      <c r="G662" s="19">
        <f>(L226+L306)-(J226+J306)</f>
        <v>1292</v>
      </c>
      <c r="H662" s="19">
        <f>(L244+L325)-(J244+J325)</f>
        <v>0</v>
      </c>
      <c r="I662" s="19">
        <f>SUM(F662:H662)</f>
        <v>143337.85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75292.2</v>
      </c>
      <c r="G663" s="199">
        <f>SUM(G575:G587)+SUM(I602:I604)+L612</f>
        <v>1189003.47</v>
      </c>
      <c r="H663" s="199">
        <f>SUM(H575:H587)+SUM(J602:J604)+L613</f>
        <v>0</v>
      </c>
      <c r="I663" s="19">
        <f>SUM(F663:H663)</f>
        <v>1264295.67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2855208.3</v>
      </c>
      <c r="G664" s="19">
        <f>G660-SUM(G661:G663)</f>
        <v>3514.6000000000931</v>
      </c>
      <c r="H664" s="19">
        <f>H660-SUM(H661:H663)</f>
        <v>0</v>
      </c>
      <c r="I664" s="19">
        <f>I660-SUM(I661:I663)</f>
        <v>2858722.9000000004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176.77</v>
      </c>
      <c r="G665" s="248"/>
      <c r="H665" s="248"/>
      <c r="I665" s="19">
        <f>SUM(F665:H665)</f>
        <v>176.77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16152.11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16171.99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>
        <v>-3514.6</v>
      </c>
      <c r="H669" s="18"/>
      <c r="I669" s="19">
        <f>SUM(F669:H669)</f>
        <v>-3514.6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16152.11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16152.11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Page &amp;P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13" sqref="C13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Mont Vernon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797531.99</v>
      </c>
      <c r="C9" s="229">
        <f>'DOE25'!G197+'DOE25'!G215+'DOE25'!G233+'DOE25'!G276+'DOE25'!G295+'DOE25'!G314</f>
        <v>303362.02999999997</v>
      </c>
    </row>
    <row r="10" spans="1:3" x14ac:dyDescent="0.2">
      <c r="A10" t="s">
        <v>779</v>
      </c>
      <c r="B10" s="240">
        <v>789661.99</v>
      </c>
      <c r="C10" s="240">
        <v>300368.46999999997</v>
      </c>
    </row>
    <row r="11" spans="1:3" x14ac:dyDescent="0.2">
      <c r="A11" t="s">
        <v>780</v>
      </c>
      <c r="B11" s="240">
        <v>3200</v>
      </c>
      <c r="C11" s="240">
        <v>1217.2</v>
      </c>
    </row>
    <row r="12" spans="1:3" x14ac:dyDescent="0.2">
      <c r="A12" t="s">
        <v>781</v>
      </c>
      <c r="B12" s="240">
        <f>3170+1500</f>
        <v>4670</v>
      </c>
      <c r="C12" s="240">
        <v>1776.36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797531.99</v>
      </c>
      <c r="C13" s="231">
        <f>SUM(C10:C12)</f>
        <v>303362.02999999997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213515.75</v>
      </c>
      <c r="C18" s="229">
        <f>'DOE25'!G198+'DOE25'!G216+'DOE25'!G234+'DOE25'!G277+'DOE25'!G296+'DOE25'!G315</f>
        <v>61627.91</v>
      </c>
    </row>
    <row r="19" spans="1:3" x14ac:dyDescent="0.2">
      <c r="A19" t="s">
        <v>779</v>
      </c>
      <c r="B19" s="240">
        <v>98750.5</v>
      </c>
      <c r="C19" s="240">
        <v>28502.76</v>
      </c>
    </row>
    <row r="20" spans="1:3" x14ac:dyDescent="0.2">
      <c r="A20" t="s">
        <v>780</v>
      </c>
      <c r="B20" s="240">
        <v>108733.38</v>
      </c>
      <c r="C20" s="240">
        <v>31384.15</v>
      </c>
    </row>
    <row r="21" spans="1:3" x14ac:dyDescent="0.2">
      <c r="A21" t="s">
        <v>781</v>
      </c>
      <c r="B21" s="240">
        <v>6031.87</v>
      </c>
      <c r="C21" s="240">
        <v>1741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213515.75</v>
      </c>
      <c r="C22" s="231">
        <f>SUM(C19:C21)</f>
        <v>61627.91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>
        <v>0</v>
      </c>
      <c r="C28" s="240">
        <v>0</v>
      </c>
    </row>
    <row r="29" spans="1:3" x14ac:dyDescent="0.2">
      <c r="A29" t="s">
        <v>780</v>
      </c>
      <c r="B29" s="240">
        <v>0</v>
      </c>
      <c r="C29" s="240">
        <v>0</v>
      </c>
    </row>
    <row r="30" spans="1:3" x14ac:dyDescent="0.2">
      <c r="A30" t="s">
        <v>781</v>
      </c>
      <c r="B30" s="240">
        <v>0</v>
      </c>
      <c r="C30" s="240">
        <v>0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7789</v>
      </c>
      <c r="C36" s="235">
        <f>'DOE25'!G200+'DOE25'!G218+'DOE25'!G236+'DOE25'!G279+'DOE25'!G298+'DOE25'!G317</f>
        <v>1107.33</v>
      </c>
    </row>
    <row r="37" spans="1:3" x14ac:dyDescent="0.2">
      <c r="A37" t="s">
        <v>779</v>
      </c>
      <c r="B37" s="240">
        <v>7669</v>
      </c>
      <c r="C37" s="240">
        <v>1090.27</v>
      </c>
    </row>
    <row r="38" spans="1:3" x14ac:dyDescent="0.2">
      <c r="A38" t="s">
        <v>780</v>
      </c>
      <c r="B38" s="240">
        <v>0</v>
      </c>
      <c r="C38" s="240">
        <v>0</v>
      </c>
    </row>
    <row r="39" spans="1:3" x14ac:dyDescent="0.2">
      <c r="A39" t="s">
        <v>781</v>
      </c>
      <c r="B39" s="240">
        <v>120</v>
      </c>
      <c r="C39" s="240">
        <v>17.059999999999999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7789</v>
      </c>
      <c r="C40" s="231">
        <f>SUM(C37:C39)</f>
        <v>1107.33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B38" sqref="B3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Mont Vernon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2692973.3200000003</v>
      </c>
      <c r="D5" s="20">
        <f>SUM('DOE25'!L197:L200)+SUM('DOE25'!L215:L218)+SUM('DOE25'!L233:L236)-F5-G5</f>
        <v>2675683.5900000003</v>
      </c>
      <c r="E5" s="243"/>
      <c r="F5" s="255">
        <f>SUM('DOE25'!J197:J200)+SUM('DOE25'!J215:J218)+SUM('DOE25'!J233:J236)</f>
        <v>17289.73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334624.51</v>
      </c>
      <c r="D6" s="20">
        <f>'DOE25'!L202+'DOE25'!L220+'DOE25'!L238-F6-G6</f>
        <v>334624.51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97247.41</v>
      </c>
      <c r="D7" s="20">
        <f>'DOE25'!L203+'DOE25'!L221+'DOE25'!L239-F7-G7</f>
        <v>97247.41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208088.08</v>
      </c>
      <c r="D8" s="243"/>
      <c r="E8" s="20">
        <f>'DOE25'!L204+'DOE25'!L222+'DOE25'!L240-F8-G8-D9-D11</f>
        <v>205082.47</v>
      </c>
      <c r="F8" s="255">
        <f>'DOE25'!J204+'DOE25'!J222+'DOE25'!J240</f>
        <v>0</v>
      </c>
      <c r="G8" s="53">
        <f>'DOE25'!K204+'DOE25'!K222+'DOE25'!K240</f>
        <v>3005.61</v>
      </c>
      <c r="H8" s="259"/>
    </row>
    <row r="9" spans="1:9" x14ac:dyDescent="0.2">
      <c r="A9" s="32">
        <v>2310</v>
      </c>
      <c r="B9" t="s">
        <v>818</v>
      </c>
      <c r="C9" s="245">
        <f t="shared" si="0"/>
        <v>0</v>
      </c>
      <c r="D9" s="244"/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0</v>
      </c>
      <c r="D11" s="244"/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218237.21</v>
      </c>
      <c r="D12" s="20">
        <f>'DOE25'!L205+'DOE25'!L223+'DOE25'!L241-F12-G12</f>
        <v>216283.21</v>
      </c>
      <c r="E12" s="243"/>
      <c r="F12" s="255">
        <f>'DOE25'!J205+'DOE25'!J223+'DOE25'!J241</f>
        <v>1204</v>
      </c>
      <c r="G12" s="53">
        <f>'DOE25'!K205+'DOE25'!K223+'DOE25'!K241</f>
        <v>750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417820.75</v>
      </c>
      <c r="D14" s="20">
        <f>'DOE25'!L207+'DOE25'!L225+'DOE25'!L243-F14-G14</f>
        <v>417820.75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143337.85</v>
      </c>
      <c r="D15" s="20">
        <f>'DOE25'!L208+'DOE25'!L226+'DOE25'!L244-F15-G15</f>
        <v>143337.85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34499.26</v>
      </c>
      <c r="D16" s="243"/>
      <c r="E16" s="20">
        <f>'DOE25'!L209+'DOE25'!L227+'DOE25'!L245-F16-G16</f>
        <v>19161.200000000004</v>
      </c>
      <c r="F16" s="255">
        <f>'DOE25'!J209+'DOE25'!J227+'DOE25'!J245</f>
        <v>15338.06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31227.32</v>
      </c>
      <c r="D29" s="20">
        <f>'DOE25'!L358+'DOE25'!L359+'DOE25'!L360-'DOE25'!I367-F29-G29</f>
        <v>31015.97</v>
      </c>
      <c r="E29" s="243"/>
      <c r="F29" s="255">
        <f>'DOE25'!J358+'DOE25'!J359+'DOE25'!J360</f>
        <v>0</v>
      </c>
      <c r="G29" s="53">
        <f>'DOE25'!K358+'DOE25'!K359+'DOE25'!K360</f>
        <v>211.35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99299.58</v>
      </c>
      <c r="D31" s="20">
        <f>'DOE25'!L290+'DOE25'!L309+'DOE25'!L328+'DOE25'!L333+'DOE25'!L334+'DOE25'!L335-F31-G31</f>
        <v>99299.58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4015312.870000001</v>
      </c>
      <c r="E33" s="246">
        <f>SUM(E5:E31)</f>
        <v>224243.67</v>
      </c>
      <c r="F33" s="246">
        <f>SUM(F5:F31)</f>
        <v>33831.79</v>
      </c>
      <c r="G33" s="246">
        <f>SUM(G5:G31)</f>
        <v>3966.96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224243.67</v>
      </c>
      <c r="E35" s="249"/>
    </row>
    <row r="36" spans="2:8" ht="12" thickTop="1" x14ac:dyDescent="0.2">
      <c r="B36" t="s">
        <v>815</v>
      </c>
      <c r="D36" s="20">
        <f>D33</f>
        <v>4015312.870000001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N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Mont Vernon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564997.07999999996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14794.88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196079.75</v>
      </c>
      <c r="D11" s="95">
        <f>'DOE25'!G12</f>
        <v>14875.95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15.78</v>
      </c>
      <c r="D12" s="95">
        <f>'DOE25'!G13</f>
        <v>1973.31</v>
      </c>
      <c r="E12" s="95">
        <f>'DOE25'!H13</f>
        <v>30971.42</v>
      </c>
      <c r="F12" s="95">
        <f>'DOE25'!I13</f>
        <v>0</v>
      </c>
      <c r="G12" s="95">
        <f>'DOE25'!J13</f>
        <v>105318.2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5080.37</v>
      </c>
      <c r="D13" s="95">
        <f>'DOE25'!G14</f>
        <v>36.520000000000003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1174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767346.98</v>
      </c>
      <c r="D18" s="41">
        <f>SUM(D8:D17)</f>
        <v>16885.780000000002</v>
      </c>
      <c r="E18" s="41">
        <f>SUM(E8:E17)</f>
        <v>30971.42</v>
      </c>
      <c r="F18" s="41">
        <f>SUM(F8:F17)</f>
        <v>0</v>
      </c>
      <c r="G18" s="41">
        <f>SUM(G8:G17)</f>
        <v>120113.08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179844.75</v>
      </c>
      <c r="D21" s="95">
        <f>'DOE25'!G22</f>
        <v>150</v>
      </c>
      <c r="E21" s="95">
        <f>'DOE25'!H22</f>
        <v>30960.95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125939.19</v>
      </c>
      <c r="D22" s="95">
        <f>'DOE25'!G23</f>
        <v>410.05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1596.49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1402.86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1594.59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2387.33</v>
      </c>
      <c r="E29" s="95">
        <f>'DOE25'!H30</f>
        <v>10.47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335428.98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14794.88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645806.86</v>
      </c>
      <c r="D31" s="41">
        <f>SUM(D21:D30)</f>
        <v>2947.38</v>
      </c>
      <c r="E31" s="41">
        <f>SUM(E21:E30)</f>
        <v>30971.420000000002</v>
      </c>
      <c r="F31" s="41">
        <f>SUM(F21:F30)</f>
        <v>0</v>
      </c>
      <c r="G31" s="41">
        <f>SUM(G21:G30)</f>
        <v>14794.88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13938.400000000001</v>
      </c>
      <c r="E47" s="95">
        <f>'DOE25'!H48</f>
        <v>0</v>
      </c>
      <c r="F47" s="95">
        <f>'DOE25'!I48</f>
        <v>0</v>
      </c>
      <c r="G47" s="95">
        <f>'DOE25'!J48</f>
        <v>105318.2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121540.12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121540.12</v>
      </c>
      <c r="D50" s="41">
        <f>SUM(D34:D49)</f>
        <v>13938.400000000001</v>
      </c>
      <c r="E50" s="41">
        <f>SUM(E34:E49)</f>
        <v>0</v>
      </c>
      <c r="F50" s="41">
        <f>SUM(F34:F49)</f>
        <v>0</v>
      </c>
      <c r="G50" s="41">
        <f>SUM(G34:G49)</f>
        <v>105318.2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767346.98</v>
      </c>
      <c r="D51" s="41">
        <f>D50+D31</f>
        <v>16885.780000000002</v>
      </c>
      <c r="E51" s="41">
        <f>E50+E31</f>
        <v>30971.420000000002</v>
      </c>
      <c r="F51" s="41">
        <f>F50+F31</f>
        <v>0</v>
      </c>
      <c r="G51" s="41">
        <f>G50+G31</f>
        <v>120113.08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2719338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427.42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9.6199999999999992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38614.129999999997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3095.25</v>
      </c>
      <c r="D61" s="95">
        <f>SUM('DOE25'!G98:G110)</f>
        <v>121.99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3522.67</v>
      </c>
      <c r="D62" s="130">
        <f>SUM(D57:D61)</f>
        <v>38736.119999999995</v>
      </c>
      <c r="E62" s="130">
        <f>SUM(E57:E61)</f>
        <v>0</v>
      </c>
      <c r="F62" s="130">
        <f>SUM(F57:F61)</f>
        <v>0</v>
      </c>
      <c r="G62" s="130">
        <f>SUM(G57:G61)</f>
        <v>9.6199999999999992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2722860.67</v>
      </c>
      <c r="D63" s="22">
        <f>D56+D62</f>
        <v>38736.119999999995</v>
      </c>
      <c r="E63" s="22">
        <f>E56+E62</f>
        <v>0</v>
      </c>
      <c r="F63" s="22">
        <f>F56+F62</f>
        <v>0</v>
      </c>
      <c r="G63" s="22">
        <f>G56+G62</f>
        <v>9.6199999999999992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812180.2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368908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1181088.2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87698.17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765.57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87698.17</v>
      </c>
      <c r="D78" s="130">
        <f>SUM(D72:D77)</f>
        <v>765.57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1268786.3699999999</v>
      </c>
      <c r="D81" s="130">
        <f>SUM(D79:D80)+D78+D70</f>
        <v>765.57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3082.5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58357.98</v>
      </c>
      <c r="D88" s="95">
        <f>SUM('DOE25'!G153:G161)</f>
        <v>23981.58</v>
      </c>
      <c r="E88" s="95">
        <f>SUM('DOE25'!H153:H161)</f>
        <v>96217.08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58357.98</v>
      </c>
      <c r="D91" s="131">
        <f>SUM(D85:D90)</f>
        <v>23981.58</v>
      </c>
      <c r="E91" s="131">
        <f>SUM(E85:E90)</f>
        <v>99299.58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65000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65000</v>
      </c>
    </row>
    <row r="104" spans="1:7" ht="12.75" thickTop="1" thickBot="1" x14ac:dyDescent="0.25">
      <c r="A104" s="33" t="s">
        <v>765</v>
      </c>
      <c r="C104" s="86">
        <f>C63+C81+C91+C103</f>
        <v>4050005.02</v>
      </c>
      <c r="D104" s="86">
        <f>D63+D81+D91+D103</f>
        <v>63483.27</v>
      </c>
      <c r="E104" s="86">
        <f>E63+E81+E91+E103</f>
        <v>99299.58</v>
      </c>
      <c r="F104" s="86">
        <f>F63+F81+F91+F103</f>
        <v>0</v>
      </c>
      <c r="G104" s="86">
        <f>G63+G81+G103</f>
        <v>65009.62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2325062.1100000003</v>
      </c>
      <c r="D109" s="24" t="s">
        <v>289</v>
      </c>
      <c r="E109" s="95">
        <f>('DOE25'!L276)+('DOE25'!L295)+('DOE25'!L314)</f>
        <v>8543.42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358777.38</v>
      </c>
      <c r="D110" s="24" t="s">
        <v>289</v>
      </c>
      <c r="E110" s="95">
        <f>('DOE25'!L277)+('DOE25'!L296)+('DOE25'!L315)</f>
        <v>65528.55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9133.83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2692973.3200000003</v>
      </c>
      <c r="D115" s="86">
        <f>SUM(D109:D114)</f>
        <v>0</v>
      </c>
      <c r="E115" s="86">
        <f>SUM(E109:E114)</f>
        <v>74071.97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334624.51</v>
      </c>
      <c r="D118" s="24" t="s">
        <v>289</v>
      </c>
      <c r="E118" s="95">
        <f>+('DOE25'!L281)+('DOE25'!L300)+('DOE25'!L319)</f>
        <v>767.75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97247.41</v>
      </c>
      <c r="D119" s="24" t="s">
        <v>289</v>
      </c>
      <c r="E119" s="95">
        <f>+('DOE25'!L282)+('DOE25'!L301)+('DOE25'!L320)</f>
        <v>24381.86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208088.08</v>
      </c>
      <c r="D120" s="24" t="s">
        <v>289</v>
      </c>
      <c r="E120" s="95">
        <f>+('DOE25'!L283)+('DOE25'!L302)+('DOE25'!L321)</f>
        <v>78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218237.21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417820.75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143337.85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34499.26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58964.57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1453855.07</v>
      </c>
      <c r="D128" s="86">
        <f>SUM(D118:D127)</f>
        <v>58964.57</v>
      </c>
      <c r="E128" s="86">
        <f>SUM(E118:E127)</f>
        <v>25227.61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65009.62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-9.6200000000026193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65000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4211828.3900000006</v>
      </c>
      <c r="D145" s="86">
        <f>(D115+D128+D144)</f>
        <v>58964.57</v>
      </c>
      <c r="E145" s="86">
        <f>(E115+E128+E144)</f>
        <v>99299.58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&amp;A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Mont Vernon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16152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16152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2333606</v>
      </c>
      <c r="D10" s="182">
        <f>ROUND((C10/$C$28)*100,1)</f>
        <v>54.7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424306</v>
      </c>
      <c r="D11" s="182">
        <f>ROUND((C11/$C$28)*100,1)</f>
        <v>9.9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9134</v>
      </c>
      <c r="D13" s="182">
        <f>ROUND((C13/$C$28)*100,1)</f>
        <v>0.2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335392</v>
      </c>
      <c r="D15" s="182">
        <f t="shared" ref="D15:D27" si="0">ROUND((C15/$C$28)*100,1)</f>
        <v>7.9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121629</v>
      </c>
      <c r="D16" s="182">
        <f t="shared" si="0"/>
        <v>2.9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242665</v>
      </c>
      <c r="D17" s="182">
        <f t="shared" si="0"/>
        <v>5.7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218237</v>
      </c>
      <c r="D18" s="182">
        <f t="shared" si="0"/>
        <v>5.0999999999999996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417821</v>
      </c>
      <c r="D20" s="182">
        <f t="shared" si="0"/>
        <v>9.8000000000000007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143338</v>
      </c>
      <c r="D21" s="182">
        <f t="shared" si="0"/>
        <v>3.4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20228.880000000005</v>
      </c>
      <c r="D27" s="182">
        <f t="shared" si="0"/>
        <v>0.5</v>
      </c>
    </row>
    <row r="28" spans="1:4" x14ac:dyDescent="0.2">
      <c r="B28" s="187" t="s">
        <v>723</v>
      </c>
      <c r="C28" s="180">
        <f>SUM(C10:C27)</f>
        <v>4266356.88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4266356.88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2719338</v>
      </c>
      <c r="D35" s="182">
        <f t="shared" ref="D35:D40" si="1">ROUND((C35/$C$41)*100,1)</f>
        <v>65.099999999999994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3532.2900000000373</v>
      </c>
      <c r="D36" s="182">
        <f t="shared" si="1"/>
        <v>0.1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1181088</v>
      </c>
      <c r="D37" s="182">
        <f t="shared" si="1"/>
        <v>28.3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88464</v>
      </c>
      <c r="D38" s="182">
        <f t="shared" si="1"/>
        <v>2.1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181639</v>
      </c>
      <c r="D39" s="182">
        <f t="shared" si="1"/>
        <v>4.4000000000000004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4174061.29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&amp;A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Mont Vernon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2015-08-27T11:46:36Z</cp:lastPrinted>
  <dcterms:created xsi:type="dcterms:W3CDTF">1997-12-04T19:04:30Z</dcterms:created>
  <dcterms:modified xsi:type="dcterms:W3CDTF">2015-09-01T14:00:44Z</dcterms:modified>
</cp:coreProperties>
</file>