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H523" i="1" l="1"/>
  <c r="H522" i="1"/>
  <c r="H521" i="1"/>
  <c r="F14" i="13" l="1"/>
  <c r="F13" i="13"/>
  <c r="G12" i="13"/>
  <c r="G8" i="13"/>
  <c r="G7" i="13"/>
  <c r="F5" i="13"/>
  <c r="E10" i="13" l="1"/>
  <c r="B20" i="12"/>
  <c r="B19" i="12"/>
  <c r="B21" i="12"/>
  <c r="B11" i="12"/>
  <c r="B10" i="12"/>
  <c r="B12" i="12"/>
  <c r="F46" i="1"/>
  <c r="J465" i="1"/>
  <c r="J469" i="1" l="1"/>
  <c r="H244" i="1"/>
  <c r="H234" i="1"/>
  <c r="H226" i="1"/>
  <c r="H216" i="1"/>
  <c r="H208" i="1"/>
  <c r="H198" i="1"/>
  <c r="G613" i="1"/>
  <c r="G611" i="1"/>
  <c r="J604" i="1"/>
  <c r="I604" i="1"/>
  <c r="H604" i="1"/>
  <c r="J595" i="1"/>
  <c r="I595" i="1"/>
  <c r="H595" i="1"/>
  <c r="G563" i="1"/>
  <c r="G522" i="1"/>
  <c r="F521" i="1"/>
  <c r="G523" i="1"/>
  <c r="G521" i="1"/>
  <c r="G532" i="1"/>
  <c r="G533" i="1"/>
  <c r="G531" i="1"/>
  <c r="F523" i="1"/>
  <c r="F522" i="1"/>
  <c r="F532" i="1"/>
  <c r="F533" i="1"/>
  <c r="F531" i="1"/>
  <c r="F499" i="1"/>
  <c r="G459" i="1"/>
  <c r="G440" i="1"/>
  <c r="H400" i="1"/>
  <c r="H397" i="1"/>
  <c r="H396" i="1"/>
  <c r="H426" i="1"/>
  <c r="H395" i="1"/>
  <c r="I395" i="1" s="1"/>
  <c r="G40" i="1"/>
  <c r="H360" i="1" l="1"/>
  <c r="H358" i="1"/>
  <c r="H359" i="1" s="1"/>
  <c r="F277" i="1"/>
  <c r="H277" i="1"/>
  <c r="G277" i="1"/>
  <c r="G276" i="1"/>
  <c r="F276" i="1"/>
  <c r="I300" i="1"/>
  <c r="H300" i="1"/>
  <c r="H159" i="1"/>
  <c r="H154" i="1"/>
  <c r="H155" i="1"/>
  <c r="I240" i="1"/>
  <c r="I239" i="1"/>
  <c r="I238" i="1"/>
  <c r="I236" i="1"/>
  <c r="K240" i="1"/>
  <c r="K236" i="1"/>
  <c r="J239" i="1"/>
  <c r="H241" i="1"/>
  <c r="H240" i="1"/>
  <c r="H239" i="1"/>
  <c r="H238" i="1"/>
  <c r="H236" i="1"/>
  <c r="G240" i="1"/>
  <c r="G239" i="1"/>
  <c r="G238" i="1"/>
  <c r="G236" i="1"/>
  <c r="F240" i="1"/>
  <c r="F239" i="1"/>
  <c r="F238" i="1"/>
  <c r="F236" i="1"/>
  <c r="F222" i="1"/>
  <c r="F221" i="1"/>
  <c r="F220" i="1"/>
  <c r="F218" i="1"/>
  <c r="F216" i="1"/>
  <c r="G221" i="1"/>
  <c r="G220" i="1"/>
  <c r="G218" i="1"/>
  <c r="G216" i="1"/>
  <c r="H222" i="1"/>
  <c r="H221" i="1"/>
  <c r="H218" i="1"/>
  <c r="I222" i="1"/>
  <c r="I221" i="1"/>
  <c r="I220" i="1"/>
  <c r="I218" i="1"/>
  <c r="J221" i="1"/>
  <c r="K222" i="1"/>
  <c r="K218" i="1"/>
  <c r="K204" i="1"/>
  <c r="J203" i="1"/>
  <c r="I208" i="1"/>
  <c r="I204" i="1"/>
  <c r="I203" i="1"/>
  <c r="I202" i="1"/>
  <c r="H204" i="1"/>
  <c r="H203" i="1"/>
  <c r="G204" i="1"/>
  <c r="G203" i="1"/>
  <c r="G202" i="1"/>
  <c r="G198" i="1"/>
  <c r="F204" i="1"/>
  <c r="F203" i="1"/>
  <c r="F20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L204" i="1"/>
  <c r="L222" i="1"/>
  <c r="L240" i="1"/>
  <c r="D39" i="13"/>
  <c r="G13" i="13"/>
  <c r="L206" i="1"/>
  <c r="L224" i="1"/>
  <c r="L242" i="1"/>
  <c r="F16" i="13"/>
  <c r="G16" i="13"/>
  <c r="L209" i="1"/>
  <c r="L227" i="1"/>
  <c r="L245" i="1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L203" i="1"/>
  <c r="L221" i="1"/>
  <c r="L239" i="1"/>
  <c r="F12" i="13"/>
  <c r="L205" i="1"/>
  <c r="L223" i="1"/>
  <c r="L241" i="1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C12" i="10" s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9" i="10"/>
  <c r="L250" i="1"/>
  <c r="C113" i="2" s="1"/>
  <c r="L332" i="1"/>
  <c r="L254" i="1"/>
  <c r="C25" i="10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E112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J641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G476" i="1" s="1"/>
  <c r="H623" i="1" s="1"/>
  <c r="H470" i="1"/>
  <c r="I470" i="1"/>
  <c r="J470" i="1"/>
  <c r="F474" i="1"/>
  <c r="G474" i="1"/>
  <c r="H474" i="1"/>
  <c r="H476" i="1" s="1"/>
  <c r="H624" i="1" s="1"/>
  <c r="J624" i="1" s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F571" i="1" s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70" i="1" s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H640" i="1"/>
  <c r="H641" i="1"/>
  <c r="G643" i="1"/>
  <c r="H643" i="1"/>
  <c r="G644" i="1"/>
  <c r="H644" i="1"/>
  <c r="J644" i="1" s="1"/>
  <c r="H645" i="1"/>
  <c r="G649" i="1"/>
  <c r="G651" i="1"/>
  <c r="G652" i="1"/>
  <c r="H652" i="1"/>
  <c r="G653" i="1"/>
  <c r="H653" i="1"/>
  <c r="G654" i="1"/>
  <c r="H654" i="1"/>
  <c r="H655" i="1"/>
  <c r="J655" i="1" s="1"/>
  <c r="F192" i="1"/>
  <c r="C26" i="10"/>
  <c r="L328" i="1"/>
  <c r="L351" i="1"/>
  <c r="C70" i="2"/>
  <c r="A40" i="12"/>
  <c r="D17" i="13"/>
  <c r="C17" i="13" s="1"/>
  <c r="F18" i="2"/>
  <c r="G62" i="2"/>
  <c r="E13" i="13"/>
  <c r="C13" i="13" s="1"/>
  <c r="E78" i="2"/>
  <c r="F112" i="1"/>
  <c r="J639" i="1"/>
  <c r="K571" i="1"/>
  <c r="L433" i="1"/>
  <c r="I169" i="1"/>
  <c r="H169" i="1"/>
  <c r="J643" i="1"/>
  <c r="F169" i="1"/>
  <c r="J140" i="1"/>
  <c r="I552" i="1"/>
  <c r="G22" i="2"/>
  <c r="J552" i="1"/>
  <c r="C29" i="10"/>
  <c r="H140" i="1"/>
  <c r="L393" i="1"/>
  <c r="F22" i="13"/>
  <c r="C22" i="13" s="1"/>
  <c r="H25" i="13"/>
  <c r="C25" i="13" s="1"/>
  <c r="L560" i="1"/>
  <c r="H338" i="1"/>
  <c r="H352" i="1" s="1"/>
  <c r="G192" i="1"/>
  <c r="H192" i="1"/>
  <c r="C35" i="10"/>
  <c r="L309" i="1"/>
  <c r="E16" i="13"/>
  <c r="C16" i="13" s="1"/>
  <c r="J636" i="1"/>
  <c r="G36" i="2"/>
  <c r="C138" i="2"/>
  <c r="C22" i="12" l="1"/>
  <c r="A13" i="12"/>
  <c r="L614" i="1"/>
  <c r="K605" i="1"/>
  <c r="G648" i="1" s="1"/>
  <c r="K598" i="1"/>
  <c r="G647" i="1" s="1"/>
  <c r="G645" i="1"/>
  <c r="J645" i="1" s="1"/>
  <c r="L565" i="1"/>
  <c r="F552" i="1"/>
  <c r="H552" i="1"/>
  <c r="L534" i="1"/>
  <c r="J634" i="1"/>
  <c r="J649" i="1"/>
  <c r="J545" i="1"/>
  <c r="L256" i="1"/>
  <c r="F78" i="2"/>
  <c r="F81" i="2" s="1"/>
  <c r="D81" i="2"/>
  <c r="D50" i="2"/>
  <c r="E31" i="2"/>
  <c r="D31" i="2"/>
  <c r="G552" i="1"/>
  <c r="K549" i="1"/>
  <c r="D29" i="13"/>
  <c r="C29" i="13" s="1"/>
  <c r="J476" i="1"/>
  <c r="H626" i="1" s="1"/>
  <c r="F476" i="1"/>
  <c r="H622" i="1" s="1"/>
  <c r="G338" i="1"/>
  <c r="G352" i="1" s="1"/>
  <c r="H661" i="1"/>
  <c r="H662" i="1"/>
  <c r="J651" i="1"/>
  <c r="G545" i="1"/>
  <c r="I408" i="1"/>
  <c r="I52" i="1"/>
  <c r="H620" i="1" s="1"/>
  <c r="E110" i="2"/>
  <c r="E115" i="2" s="1"/>
  <c r="C123" i="2"/>
  <c r="I545" i="1"/>
  <c r="E128" i="2"/>
  <c r="D91" i="2"/>
  <c r="E62" i="2"/>
  <c r="E63" i="2" s="1"/>
  <c r="D19" i="13"/>
  <c r="C19" i="13" s="1"/>
  <c r="D18" i="13"/>
  <c r="C18" i="13" s="1"/>
  <c r="H545" i="1"/>
  <c r="K551" i="1"/>
  <c r="E81" i="2"/>
  <c r="K550" i="1"/>
  <c r="L524" i="1"/>
  <c r="K500" i="1"/>
  <c r="L401" i="1"/>
  <c r="C139" i="2" s="1"/>
  <c r="L427" i="1"/>
  <c r="L434" i="1" s="1"/>
  <c r="G638" i="1" s="1"/>
  <c r="J638" i="1" s="1"/>
  <c r="J640" i="1"/>
  <c r="I446" i="1"/>
  <c r="G642" i="1" s="1"/>
  <c r="D18" i="2"/>
  <c r="H52" i="1"/>
  <c r="H619" i="1" s="1"/>
  <c r="J623" i="1"/>
  <c r="J622" i="1"/>
  <c r="J617" i="1"/>
  <c r="F661" i="1"/>
  <c r="G661" i="1"/>
  <c r="I661" i="1" s="1"/>
  <c r="D127" i="2"/>
  <c r="D128" i="2" s="1"/>
  <c r="D145" i="2" s="1"/>
  <c r="L362" i="1"/>
  <c r="C27" i="10" s="1"/>
  <c r="D62" i="2"/>
  <c r="D63" i="2" s="1"/>
  <c r="L290" i="1"/>
  <c r="C131" i="2"/>
  <c r="H33" i="13"/>
  <c r="G161" i="2"/>
  <c r="C91" i="2"/>
  <c r="G157" i="2"/>
  <c r="G81" i="2"/>
  <c r="C18" i="2"/>
  <c r="E103" i="2"/>
  <c r="G164" i="2"/>
  <c r="G156" i="2"/>
  <c r="K257" i="1"/>
  <c r="K271" i="1" s="1"/>
  <c r="C21" i="10"/>
  <c r="C17" i="10"/>
  <c r="C118" i="2"/>
  <c r="L247" i="1"/>
  <c r="H660" i="1" s="1"/>
  <c r="H664" i="1" s="1"/>
  <c r="D6" i="13"/>
  <c r="C6" i="13" s="1"/>
  <c r="F257" i="1"/>
  <c r="F271" i="1" s="1"/>
  <c r="G257" i="1"/>
  <c r="G271" i="1" s="1"/>
  <c r="C15" i="10"/>
  <c r="C121" i="2"/>
  <c r="D7" i="13"/>
  <c r="C7" i="13" s="1"/>
  <c r="H257" i="1"/>
  <c r="H271" i="1" s="1"/>
  <c r="G650" i="1"/>
  <c r="J650" i="1" s="1"/>
  <c r="D15" i="13"/>
  <c r="C15" i="13" s="1"/>
  <c r="H647" i="1"/>
  <c r="I257" i="1"/>
  <c r="I271" i="1" s="1"/>
  <c r="J257" i="1"/>
  <c r="J271" i="1" s="1"/>
  <c r="C124" i="2"/>
  <c r="G662" i="1"/>
  <c r="I662" i="1" s="1"/>
  <c r="C16" i="10"/>
  <c r="C11" i="10"/>
  <c r="C109" i="2"/>
  <c r="C120" i="2"/>
  <c r="L229" i="1"/>
  <c r="G660" i="1" s="1"/>
  <c r="C13" i="10"/>
  <c r="D5" i="13"/>
  <c r="C5" i="13" s="1"/>
  <c r="C78" i="2"/>
  <c r="C81" i="2" s="1"/>
  <c r="D14" i="13"/>
  <c r="C14" i="13" s="1"/>
  <c r="C112" i="2"/>
  <c r="C110" i="2"/>
  <c r="D12" i="13"/>
  <c r="C12" i="13" s="1"/>
  <c r="C20" i="10"/>
  <c r="C18" i="10"/>
  <c r="E8" i="13"/>
  <c r="C8" i="13" s="1"/>
  <c r="C119" i="2"/>
  <c r="L211" i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J51" i="1"/>
  <c r="G16" i="2"/>
  <c r="J19" i="1"/>
  <c r="G621" i="1" s="1"/>
  <c r="F33" i="13"/>
  <c r="G18" i="2"/>
  <c r="F545" i="1"/>
  <c r="H434" i="1"/>
  <c r="J620" i="1"/>
  <c r="J619" i="1"/>
  <c r="D103" i="2"/>
  <c r="I140" i="1"/>
  <c r="A22" i="12"/>
  <c r="J652" i="1"/>
  <c r="J642" i="1"/>
  <c r="G571" i="1"/>
  <c r="I434" i="1"/>
  <c r="G434" i="1"/>
  <c r="I663" i="1"/>
  <c r="J647" i="1" l="1"/>
  <c r="L545" i="1"/>
  <c r="G635" i="1"/>
  <c r="J635" i="1" s="1"/>
  <c r="I193" i="1"/>
  <c r="G630" i="1" s="1"/>
  <c r="J630" i="1" s="1"/>
  <c r="E104" i="2"/>
  <c r="L338" i="1"/>
  <c r="L352" i="1" s="1"/>
  <c r="G633" i="1" s="1"/>
  <c r="J633" i="1" s="1"/>
  <c r="K552" i="1"/>
  <c r="H646" i="1"/>
  <c r="J646" i="1" s="1"/>
  <c r="D104" i="2"/>
  <c r="E145" i="2"/>
  <c r="H648" i="1"/>
  <c r="J648" i="1" s="1"/>
  <c r="F51" i="2"/>
  <c r="G51" i="2"/>
  <c r="G104" i="2"/>
  <c r="F104" i="2"/>
  <c r="H672" i="1"/>
  <c r="C6" i="10" s="1"/>
  <c r="H667" i="1"/>
  <c r="C128" i="2"/>
  <c r="G664" i="1"/>
  <c r="G667" i="1" s="1"/>
  <c r="L257" i="1"/>
  <c r="L271" i="1" s="1"/>
  <c r="G632" i="1" s="1"/>
  <c r="J632" i="1" s="1"/>
  <c r="C115" i="2"/>
  <c r="E33" i="13"/>
  <c r="D35" i="13" s="1"/>
  <c r="C28" i="10"/>
  <c r="D19" i="10" s="1"/>
  <c r="F660" i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G672" i="1"/>
  <c r="C5" i="10" s="1"/>
  <c r="D23" i="10"/>
  <c r="D24" i="10"/>
  <c r="D10" i="10"/>
  <c r="D18" i="10"/>
  <c r="C30" i="10"/>
  <c r="D21" i="10"/>
  <c r="D26" i="10"/>
  <c r="D12" i="10"/>
  <c r="D27" i="10"/>
  <c r="D11" i="10"/>
  <c r="D22" i="10"/>
  <c r="D13" i="10"/>
  <c r="D17" i="10"/>
  <c r="D16" i="10"/>
  <c r="D20" i="10"/>
  <c r="D15" i="10"/>
  <c r="D25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<sst xmlns="http://schemas.openxmlformats.org/spreadsheetml/2006/main" count="3957" uniqueCount="915">
  <si>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</si>
  <si>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</si>
  <si>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</si>
  <si>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</si>
  <si>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</si>
  <si>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</si>
  <si>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</si>
  <si>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</si>
  <si>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</si>
  <si>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</si>
  <si>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</si>
  <si>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</si>
  <si>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</si>
  <si>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</si>
  <si>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</si>
  <si>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</si>
  <si>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</si>
  <si>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</si>
  <si>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</si>
  <si>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</si>
  <si>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</si>
  <si>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</si>
  <si>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</si>
  <si>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</si>
  <si>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</si>
  <si>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</si>
  <si>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</si>
  <si>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</si>
  <si>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</si>
  <si>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</si>
  <si>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</si>
  <si>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</si>
  <si>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</si>
  <si>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</si>
  <si>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</si>
  <si>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</si>
  <si>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</si>
  <si>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</si>
  <si>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</si>
  <si>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</si>
  <si>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</si>
  <si>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</si>
  <si>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</si>
  <si>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</si>
  <si>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</si>
  <si>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</si>
  <si>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</si>
  <si>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</si>
  <si>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</si>
  <si>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</si>
  <si>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</si>
  <si>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</si>
  <si>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</si>
  <si>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</si>
  <si>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</si>
  <si>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</si>
  <si>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</si>
  <si>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</si>
  <si>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</si>
  <si>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</si>
  <si>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</si>
  <si>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</si>
  <si>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</si>
  <si>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</si>
  <si>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</si>
  <si>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</si>
  <si>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</si>
  <si>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</si>
  <si>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</si>
  <si>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</si>
  <si>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</si>
  <si>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</si>
  <si>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</si>
  <si>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</si>
  <si>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</si>
  <si>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</si>
  <si>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</si>
  <si>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</si>
  <si>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</si>
  <si>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</si>
  <si>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</si>
  <si>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</si>
  <si>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</si>
  <si>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</si>
  <si>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</si>
  <si>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</si>
  <si>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</si>
  <si>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</si>
  <si>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</si>
  <si>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</si>
  <si>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</si>
  <si>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</si>
  <si>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</si>
  <si>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</si>
  <si>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</si>
  <si>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</si>
  <si>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</si>
  <si>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</si>
  <si>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</si>
  <si>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</si>
  <si>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</si>
  <si>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</si>
  <si>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</si>
  <si>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</si>
  <si>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</si>
  <si>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</si>
  <si>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</si>
  <si>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</si>
  <si>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</si>
  <si>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</si>
  <si>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</si>
  <si>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</si>
  <si>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</si>
  <si>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</si>
  <si>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</si>
  <si>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</si>
  <si>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</si>
  <si>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</si>
  <si>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</si>
  <si>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</si>
  <si>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</si>
  <si>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</si>
  <si>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</si>
  <si>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</si>
  <si>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</si>
  <si>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</si>
  <si>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</si>
  <si>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</si>
  <si>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</si>
  <si>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</si>
  <si>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</si>
  <si>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</si>
  <si>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</si>
  <si>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</si>
  <si>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</si>
  <si>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</si>
  <si>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</si>
  <si>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</si>
  <si>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</si>
  <si>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</si>
  <si>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</si>
  <si>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</si>
  <si>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</si>
  <si>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</si>
  <si>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</si>
  <si>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</si>
  <si>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</si>
  <si>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</si>
  <si>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</si>
  <si>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</si>
  <si>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</si>
  <si>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</si>
  <si>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</si>
  <si>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</si>
  <si>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</si>
  <si>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</si>
  <si>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</si>
  <si>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</si>
  <si>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</si>
  <si>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</si>
  <si>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</si>
  <si>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</si>
  <si>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</si>
  <si>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</si>
  <si>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</si>
  <si>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</si>
  <si>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</si>
  <si>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</si>
  <si>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</si>
  <si>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</si>
  <si>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</si>
  <si>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</si>
  <si>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</si>
  <si>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</si>
  <si>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</si>
  <si>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</si>
  <si>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</si>
  <si>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</si>
  <si>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</si>
  <si>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</si>
  <si>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</si>
  <si>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</si>
  <si>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</si>
  <si>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</si>
  <si>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</si>
  <si>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</si>
  <si>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</si>
  <si>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</si>
  <si>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</si>
  <si>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</si>
  <si>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</si>
  <si>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</si>
  <si>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</si>
  <si>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</si>
  <si>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</si>
  <si>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</si>
  <si>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</si>
  <si>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</si>
  <si>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</si>
  <si>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</si>
  <si>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</si>
  <si>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</si>
  <si>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</si>
  <si>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</si>
  <si>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</si>
  <si>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</si>
  <si>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</si>
  <si>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</si>
  <si>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</si>
  <si>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</si>
  <si>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</si>
  <si>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</si>
  <si>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</si>
  <si>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</si>
  <si>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</si>
  <si>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</si>
  <si>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</si>
  <si>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</si>
  <si>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</si>
  <si>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</si>
  <si>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</si>
  <si>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</si>
  <si>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</si>
  <si>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</si>
  <si>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</si>
  <si>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</si>
  <si>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</si>
  <si>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</si>
  <si>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</si>
  <si>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</si>
  <si>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</si>
  <si>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</si>
  <si>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</si>
  <si>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</si>
  <si>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</si>
  <si>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</si>
  <si>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</si>
  <si>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</si>
  <si>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</si>
  <si>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</si>
  <si>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</si>
  <si>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</si>
  <si>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</si>
  <si>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</si>
  <si>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</si>
  <si>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</si>
  <si>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</si>
  <si>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</si>
  <si>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</si>
  <si>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</si>
  <si>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</si>
  <si>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</si>
  <si>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</si>
  <si>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</si>
  <si>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</si>
  <si>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</si>
  <si>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</si>
  <si>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</si>
  <si>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</si>
  <si>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</si>
  <si>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</si>
  <si>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</si>
  <si>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</si>
  <si>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</si>
  <si>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</si>
  <si>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</si>
  <si>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</si>
  <si>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</si>
  <si>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</si>
  <si>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</si>
  <si>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</si>
  <si>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</si>
  <si>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</si>
  <si>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</si>
  <si>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</si>
  <si>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</si>
  <si>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</si>
  <si>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</si>
  <si>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</si>
  <si>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</si>
  <si>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</si>
  <si>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</si>
  <si>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</si>
  <si>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</si>
  <si>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</si>
  <si>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</si>
  <si>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</si>
  <si>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</si>
  <si>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</si>
  <si>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</si>
  <si>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</si>
  <si>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</si>
  <si>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</si>
  <si>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</si>
  <si>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</si>
  <si>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</si>
  <si>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</si>
  <si>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</si>
  <si>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</si>
  <si>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</si>
  <si>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</si>
  <si>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</si>
  <si>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</si>
  <si>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</si>
  <si>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</si>
  <si>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</si>
  <si>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</si>
  <si>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</si>
  <si>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</si>
  <si>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</si>
  <si>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</si>
  <si>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</si>
  <si>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</si>
  <si>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</si>
  <si>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</si>
  <si>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</si>
  <si>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</si>
  <si>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</si>
  <si>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</si>
  <si>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</si>
  <si>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</si>
  <si>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</si>
  <si>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</si>
  <si>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</si>
  <si>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</si>
  <si>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</si>
  <si>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</si>
  <si>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</si>
  <si>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</si>
  <si>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</si>
  <si>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</si>
  <si>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</si>
  <si>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</si>
  <si>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</si>
  <si>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</si>
  <si>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</si>
  <si>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</si>
  <si>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</si>
  <si>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</si>
  <si>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</si>
  <si>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</si>
  <si>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</si>
  <si>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</si>
  <si>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</si>
  <si>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</si>
  <si>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</si>
  <si>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</si>
  <si>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</si>
  <si>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</si>
  <si>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</si>
  <si>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</si>
  <si>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</si>
  <si>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</si>
  <si>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</si>
  <si>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</si>
  <si>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</si>
  <si>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</si>
  <si>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</si>
  <si>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</si>
  <si>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</si>
  <si>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</si>
  <si>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</si>
  <si>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</si>
  <si>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</si>
  <si>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</si>
  <si>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</si>
  <si>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</si>
  <si>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</si>
  <si>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</si>
  <si>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</si>
  <si>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</si>
  <si>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</si>
  <si>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</si>
  <si>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</si>
  <si>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</si>
  <si>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</si>
  <si>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</si>
  <si>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</si>
  <si>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</si>
  <si>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</si>
  <si>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</si>
  <si>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</si>
  <si>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</si>
  <si>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</si>
  <si>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</si>
  <si>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</si>
  <si>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</si>
  <si>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</si>
  <si>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</si>
  <si>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</si>
  <si>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</si>
  <si>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</si>
  <si>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</si>
  <si>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</si>
  <si>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</si>
  <si>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</si>
  <si>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</si>
  <si>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</si>
  <si>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</si>
  <si>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</si>
  <si>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</si>
  <si>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</si>
  <si>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</si>
  <si>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</si>
  <si>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</si>
  <si>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</si>
  <si>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</si>
  <si>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</si>
  <si>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</si>
  <si>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</si>
  <si>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</si>
  <si>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</si>
  <si>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</si>
  <si>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</si>
  <si>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</si>
  <si>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</si>
  <si>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</si>
  <si>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</si>
  <si>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</si>
  <si>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</si>
  <si>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</si>
  <si>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</si>
  <si>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</si>
  <si>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</si>
  <si>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</si>
  <si>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</si>
  <si>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</si>
  <si>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</si>
  <si>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</si>
  <si>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</si>
  <si>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</si>
  <si>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</si>
  <si>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</si>
  <si>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</si>
  <si>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</si>
  <si>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</si>
  <si>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</si>
  <si>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</si>
  <si>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</si>
  <si>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</si>
  <si>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</si>
  <si>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</si>
  <si>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</si>
  <si>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</si>
  <si>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</si>
  <si>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</si>
  <si>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</si>
  <si>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</si>
  <si>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</si>
  <si>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</si>
  <si>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</si>
  <si>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</si>
  <si>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</si>
  <si>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</si>
  <si>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</si>
  <si>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</si>
  <si>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</si>
  <si>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</si>
  <si>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</si>
  <si>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</si>
  <si>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</si>
  <si>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</si>
  <si>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</si>
  <si>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</si>
  <si>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</si>
  <si>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</si>
  <si>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</si>
  <si>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</si>
  <si>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</si>
  <si>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</si>
  <si>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</si>
  <si>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</si>
  <si>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</si>
  <si>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</si>
  <si>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</si>
  <si>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</si>
  <si>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</si>
  <si>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</si>
  <si>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</si>
  <si>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</si>
  <si>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</si>
  <si>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</si>
  <si>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</si>
  <si>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</si>
  <si>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</si>
  <si>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</si>
  <si>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</si>
  <si>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</si>
  <si>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</si>
  <si>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</si>
  <si>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</si>
  <si>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</si>
  <si>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</si>
  <si>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</si>
  <si>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</si>
  <si>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</si>
  <si>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</si>
  <si>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</si>
  <si>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</si>
  <si>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</si>
  <si>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</si>
  <si>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</si>
  <si>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</si>
  <si>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</si>
  <si>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</si>
  <si>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</si>
  <si>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</si>
  <si>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</si>
  <si>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</si>
  <si>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</si>
  <si>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</si>
  <si>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</si>
  <si>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</si>
  <si>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</si>
  <si>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</si>
  <si>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</si>
  <si>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</si>
  <si>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</si>
  <si>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</si>
  <si>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</si>
  <si>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</si>
  <si>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</si>
  <si>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</si>
  <si>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</si>
  <si>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</si>
  <si>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</si>
  <si>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</si>
  <si>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</si>
  <si>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</si>
  <si>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</si>
  <si>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</si>
  <si>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</si>
  <si>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</si>
  <si>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</si>
  <si>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</si>
  <si>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</si>
  <si>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</si>
  <si>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</si>
  <si>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</si>
  <si>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</si>
  <si>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</si>
  <si>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</si>
  <si>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</si>
  <si>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</si>
  <si>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</si>
  <si>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</si>
  <si>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</si>
  <si>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</si>
  <si>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</si>
  <si>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</si>
  <si>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</si>
  <si>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</si>
  <si>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</si>
  <si>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</si>
  <si>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</si>
  <si>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</si>
  <si>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</si>
  <si>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</si>
  <si>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</si>
  <si>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</si>
  <si>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</si>
  <si>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</si>
  <si>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</si>
  <si>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</si>
  <si>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</si>
  <si>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</si>
  <si>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</si>
  <si>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</si>
  <si>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</si>
  <si>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</si>
  <si>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</si>
  <si>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</si>
  <si>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</si>
  <si>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</si>
  <si>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</si>
  <si>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</si>
  <si>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</si>
  <si>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</si>
  <si>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</si>
  <si>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</si>
  <si>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</si>
  <si>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</si>
  <si>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</si>
  <si>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</si>
  <si>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</si>
  <si>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</si>
  <si>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</si>
  <si>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</si>
  <si>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</si>
  <si>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</si>
  <si>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</si>
  <si>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</si>
  <si>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</si>
  <si>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</si>
  <si>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</si>
  <si>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</si>
  <si>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</si>
  <si>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</si>
  <si>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</si>
  <si>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</si>
  <si>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</si>
  <si>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</si>
  <si>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</si>
  <si>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</si>
  <si>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</si>
  <si>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</si>
  <si>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</si>
  <si>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</si>
  <si>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</si>
  <si>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</si>
  <si>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</si>
  <si>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</si>
  <si>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</si>
  <si>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</si>
  <si>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</si>
  <si>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</si>
  <si>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</si>
  <si>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</si>
  <si>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</si>
  <si>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</si>
  <si>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</si>
  <si>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</si>
  <si>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</si>
  <si>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</si>
  <si>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</si>
  <si>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</si>
  <si>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</si>
  <si>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</si>
  <si>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</si>
  <si>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</si>
  <si>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</si>
  <si>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</si>
  <si>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</si>
  <si>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</si>
  <si>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</si>
  <si>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</si>
  <si>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</si>
  <si>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</si>
  <si>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</si>
  <si>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</si>
  <si>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</si>
  <si>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</si>
  <si>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</si>
  <si>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</si>
  <si>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</si>
  <si>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</si>
  <si>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</si>
  <si>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</si>
  <si>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</si>
  <si>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</si>
  <si>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</si>
  <si>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</si>
  <si>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</si>
  <si>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</si>
  <si>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</si>
  <si>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</si>
  <si>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</si>
  <si>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</si>
  <si>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</si>
  <si>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</si>
  <si>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</si>
  <si>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</si>
  <si>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</si>
  <si>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</si>
  <si>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</si>
  <si>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</si>
  <si>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</si>
  <si>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</si>
  <si>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</si>
  <si>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</si>
  <si>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</si>
  <si>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</si>
  <si>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</si>
  <si>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</si>
  <si>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</si>
  <si>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</si>
  <si>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</si>
  <si>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</si>
  <si>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</si>
  <si>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</si>
  <si>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</si>
  <si>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</si>
  <si>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</si>
  <si>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</si>
  <si>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</si>
  <si>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</si>
  <si>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</si>
  <si>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</si>
  <si>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</si>
  <si>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</si>
  <si>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</si>
  <si>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</si>
  <si>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</si>
  <si>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</si>
  <si>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</si>
  <si>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</si>
  <si>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</si>
  <si>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</si>
  <si>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</si>
  <si>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</si>
  <si>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</si>
  <si>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</si>
  <si>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</si>
  <si>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</si>
  <si>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</si>
  <si>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</si>
  <si>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</si>
  <si>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</si>
  <si>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</si>
  <si>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</si>
  <si>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</si>
  <si>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</si>
  <si>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</si>
  <si>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</si>
  <si>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</si>
  <si>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</si>
  <si>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</si>
  <si>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</si>
  <si>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</si>
  <si>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</si>
  <si>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</si>
  <si>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</si>
  <si>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</si>
  <si>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</si>
  <si>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</si>
  <si>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</si>
  <si>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</si>
  <si>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</si>
  <si>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</si>
  <si>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</si>
  <si>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</si>
  <si>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</si>
  <si>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</si>
  <si>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</si>
  <si>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</si>
  <si>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</si>
  <si>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</si>
  <si>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</si>
  <si>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</si>
  <si>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</si>
  <si>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</si>
  <si>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</si>
  <si>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</si>
  <si>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</si>
  <si>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</si>
  <si>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</si>
  <si>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</si>
  <si>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</si>
  <si>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</si>
  <si>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</si>
  <si>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</si>
  <si>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</si>
  <si>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</si>
  <si>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</si>
  <si>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</si>
  <si>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</si>
  <si>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</si>
  <si>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</si>
  <si>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</si>
  <si>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</si>
  <si>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</si>
  <si>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</si>
  <si>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</si>
  <si>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</si>
  <si>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</si>
  <si>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</si>
  <si>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</si>
  <si>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</si>
  <si>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</si>
  <si>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</si>
  <si>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</si>
  <si>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</si>
  <si>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</si>
  <si>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</si>
  <si>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</si>
  <si>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</si>
  <si>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</si>
  <si>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</si>
  <si>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</si>
  <si>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</si>
  <si>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</si>
  <si>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</si>
  <si>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</si>
  <si>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</si>
  <si>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</si>
  <si>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</si>
  <si>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</si>
  <si>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</si>
  <si>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</si>
  <si>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</si>
  <si>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</si>
  <si>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</si>
  <si>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</si>
  <si>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</si>
  <si>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</si>
  <si>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</si>
  <si>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</si>
  <si>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</si>
  <si>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</si>
  <si>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</si>
  <si>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</si>
  <si>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</si>
  <si>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</si>
  <si>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</si>
  <si>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</si>
  <si>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</si>
  <si>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</si>
  <si>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</si>
  <si>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</si>
  <si>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</si>
  <si>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</si>
  <si>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</si>
  <si>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</si>
  <si>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</si>
  <si>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</si>
  <si>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</si>
  <si>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</si>
  <si>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</si>
  <si>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</si>
  <si>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</si>
  <si>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</si>
  <si>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</si>
  <si>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</si>
  <si>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</si>
  <si>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</si>
  <si>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</si>
  <si>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</si>
  <si>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</si>
  <si>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</si>
  <si>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</si>
  <si>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</si>
  <si>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</si>
  <si>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</si>
  <si>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</si>
  <si>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</si>
  <si>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</si>
  <si>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</si>
  <si>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</si>
  <si>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</si>
  <si>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</si>
  <si>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</si>
  <si>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</si>
  <si>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</si>
  <si>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</si>
  <si>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</si>
  <si>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</si>
  <si>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</si>
  <si>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</si>
  <si>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</si>
  <si>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</si>
  <si>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</si>
  <si>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</si>
  <si>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</si>
  <si>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</si>
  <si>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</si>
  <si>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</si>
  <si>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</si>
  <si>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</si>
  <si>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</si>
  <si>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</si>
  <si>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</si>
  <si>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</si>
  <si>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</si>
  <si>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</si>
  <si>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</si>
  <si>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</si>
  <si>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</si>
  <si>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</si>
  <si>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</si>
  <si>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</si>
  <si>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</si>
  <si>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</si>
  <si>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</si>
  <si>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</si>
  <si>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</si>
  <si>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</si>
  <si>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</si>
  <si>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</si>
  <si>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</si>
  <si>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</si>
  <si>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</si>
  <si>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</si>
  <si>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</si>
  <si>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</si>
  <si>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</si>
  <si>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</si>
  <si>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</si>
  <si>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</si>
  <si>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</si>
  <si>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</si>
  <si>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</si>
  <si>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</si>
  <si>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</si>
  <si>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</si>
  <si>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</si>
  <si>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</si>
  <si>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</si>
  <si>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</si>
  <si>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</si>
  <si>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</si>
  <si>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</si>
  <si>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</si>
  <si>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</si>
  <si>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</si>
  <si>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</si>
  <si>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</si>
  <si>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</si>
  <si>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</si>
  <si>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</si>
  <si>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</si>
  <si>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</si>
  <si>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4/2003</t>
  </si>
  <si>
    <t>1/2018</t>
  </si>
  <si>
    <t>Less DIT from p/y; 2 additional trust not previously reported (1 approps, 1 donations)</t>
  </si>
  <si>
    <t>Moultonborough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</si>
</sst>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587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369</v>
      </c>
      <c r="C2" s="21">
        <v>369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1059093.3999999999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1706451.27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15237.42</v>
      </c>
      <c r="H13" s="18">
        <v>155977.72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50000</v>
      </c>
      <c r="G14" s="18">
        <v>31074.55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1109093.3999999999</v>
      </c>
      <c r="G19" s="41">
        <f>SUM(G9:G18)</f>
        <v>46311.97</v>
      </c>
      <c r="H19" s="41">
        <f>SUM(H9:H18)</f>
        <v>155977.72</v>
      </c>
      <c r="I19" s="41">
        <f>SUM(I9:I18)</f>
        <v>0</v>
      </c>
      <c r="J19" s="41">
        <f>SUM(J9:J18)</f>
        <v>1706451.27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487173.04</v>
      </c>
      <c r="G22" s="18">
        <v>43021.39</v>
      </c>
      <c r="H22" s="18">
        <v>138414.21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10315.030000000001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17563.509999999998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497488.07</v>
      </c>
      <c r="G32" s="41">
        <f>SUM(G22:G31)</f>
        <v>43021.39</v>
      </c>
      <c r="H32" s="41">
        <f>SUM(H22:H31)</f>
        <v>155977.72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3240.46+50.12</f>
        <v>3290.58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90000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f>100000+40000</f>
        <v>140000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40000</v>
      </c>
      <c r="G48" s="18"/>
      <c r="H48" s="18"/>
      <c r="I48" s="18"/>
      <c r="J48" s="13">
        <f>SUM(I459)</f>
        <v>1706451.27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278559.90999999997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164323.99+28721.43-40000-90000</f>
        <v>63045.419999999984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611605.32999999984</v>
      </c>
      <c r="G51" s="41">
        <f>SUM(G35:G50)</f>
        <v>3290.58</v>
      </c>
      <c r="H51" s="41">
        <f>SUM(H35:H50)</f>
        <v>0</v>
      </c>
      <c r="I51" s="41">
        <f>SUM(I35:I50)</f>
        <v>0</v>
      </c>
      <c r="J51" s="41">
        <f>SUM(J35:J50)</f>
        <v>1706451.27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1109093.3999999999</v>
      </c>
      <c r="G52" s="41">
        <f>G51+G32</f>
        <v>46311.97</v>
      </c>
      <c r="H52" s="41">
        <f>H51+H32</f>
        <v>155977.72</v>
      </c>
      <c r="I52" s="41">
        <f>I51+I32</f>
        <v>0</v>
      </c>
      <c r="J52" s="41">
        <f>J51+J32</f>
        <v>1706451.27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6115827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6115827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18659.72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18659.72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1721.56</v>
      </c>
      <c r="G96" s="18"/>
      <c r="H96" s="18"/>
      <c r="I96" s="18"/>
      <c r="J96" s="18">
        <v>6466.35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125036.68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>
        <v>350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2951.06</v>
      </c>
      <c r="G110" s="18"/>
      <c r="H110" s="18">
        <v>18815</v>
      </c>
      <c r="I110" s="18"/>
      <c r="J110" s="18">
        <v>1834286.42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4672.62</v>
      </c>
      <c r="G111" s="41">
        <f>SUM(G96:G110)</f>
        <v>125036.68</v>
      </c>
      <c r="H111" s="41">
        <f>SUM(H96:H110)</f>
        <v>18815</v>
      </c>
      <c r="I111" s="41">
        <f>SUM(I96:I110)</f>
        <v>0</v>
      </c>
      <c r="J111" s="41">
        <f>SUM(J96:J110)</f>
        <v>1841102.77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6139159.3399999999</v>
      </c>
      <c r="G112" s="41">
        <f>G60+G111</f>
        <v>125036.68</v>
      </c>
      <c r="H112" s="41">
        <f>H60+H79+H94+H111</f>
        <v>18815</v>
      </c>
      <c r="I112" s="41">
        <f>I60+I111</f>
        <v>0</v>
      </c>
      <c r="J112" s="41">
        <f>J60+J111</f>
        <v>1841102.77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6806571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6806571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271144.39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149855.01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6822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2969.9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427821.4</v>
      </c>
      <c r="G136" s="41">
        <f>SUM(G123:G135)</f>
        <v>2969.9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7234392.4000000004</v>
      </c>
      <c r="G140" s="41">
        <f>G121+SUM(G136:G137)</f>
        <v>2969.9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95453.53</f>
        <v>95453.53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41685.76</f>
        <v>41685.760000000002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83436.539999999994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130340.39+2304</f>
        <v>132644.39000000001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172765.48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172765.48</v>
      </c>
      <c r="G162" s="41">
        <f>SUM(G150:G161)</f>
        <v>83436.539999999994</v>
      </c>
      <c r="H162" s="41">
        <f>SUM(H150:H161)</f>
        <v>269783.68000000005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172765.48</v>
      </c>
      <c r="G169" s="41">
        <f>G147+G162+SUM(G163:G168)</f>
        <v>83436.539999999994</v>
      </c>
      <c r="H169" s="41">
        <f>H147+H162+SUM(H163:H168)</f>
        <v>269783.68000000005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50000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50000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13596317.220000001</v>
      </c>
      <c r="G193" s="47">
        <f>G112+G140+G169+G192</f>
        <v>211443.12</v>
      </c>
      <c r="H193" s="47">
        <f>H112+H140+H169+H192</f>
        <v>288598.68000000005</v>
      </c>
      <c r="I193" s="47">
        <f>I112+I140+I169+I192</f>
        <v>0</v>
      </c>
      <c r="J193" s="47">
        <f>J112+J140+J192</f>
        <v>1916102.77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1650128.69</v>
      </c>
      <c r="G197" s="18">
        <v>767762.96</v>
      </c>
      <c r="H197" s="18">
        <v>11890</v>
      </c>
      <c r="I197" s="18">
        <v>46217.96</v>
      </c>
      <c r="J197" s="18">
        <v>3008.13</v>
      </c>
      <c r="K197" s="18"/>
      <c r="L197" s="19">
        <f>SUM(F197:K197)</f>
        <v>2479007.7399999998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637047.82999999996</v>
      </c>
      <c r="G198" s="18">
        <f>289547.88+976</f>
        <v>290523.88</v>
      </c>
      <c r="H198" s="18">
        <f>439082.61-7960</f>
        <v>431122.61</v>
      </c>
      <c r="I198" s="18">
        <v>11901.89</v>
      </c>
      <c r="J198" s="18">
        <v>5015.8100000000004</v>
      </c>
      <c r="K198" s="18">
        <v>2443.8000000000002</v>
      </c>
      <c r="L198" s="19">
        <f>SUM(F198:K198)</f>
        <v>1378055.8199999998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5875.2</v>
      </c>
      <c r="G199" s="18">
        <v>449.61</v>
      </c>
      <c r="H199" s="18"/>
      <c r="I199" s="18">
        <v>516.9</v>
      </c>
      <c r="J199" s="18"/>
      <c r="K199" s="18"/>
      <c r="L199" s="19">
        <f>SUM(F199:K199)</f>
        <v>6841.7099999999991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18768.75</v>
      </c>
      <c r="G200" s="18">
        <v>3367.97</v>
      </c>
      <c r="H200" s="18">
        <v>2221.96</v>
      </c>
      <c r="I200" s="18">
        <v>1024.71</v>
      </c>
      <c r="J200" s="18"/>
      <c r="K200" s="18"/>
      <c r="L200" s="19">
        <f>SUM(F200:K200)</f>
        <v>25383.39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54108+72822</f>
        <v>126930</v>
      </c>
      <c r="G202" s="18">
        <f>22698.69+34331.89</f>
        <v>57030.58</v>
      </c>
      <c r="H202" s="4"/>
      <c r="I202" s="18">
        <f>837.93+1562.38</f>
        <v>2400.31</v>
      </c>
      <c r="J202" s="18">
        <v>162.30000000000001</v>
      </c>
      <c r="K202" s="18"/>
      <c r="L202" s="19">
        <f t="shared" ref="L202:L208" si="0">SUM(F202:K202)</f>
        <v>186523.19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22615.55+56097.7+48139.65</f>
        <v>126852.9</v>
      </c>
      <c r="G203" s="18">
        <f>42396.11+15999.26+24798.17</f>
        <v>83193.540000000008</v>
      </c>
      <c r="H203" s="18">
        <f>5057.22+23942.45</f>
        <v>28999.670000000002</v>
      </c>
      <c r="I203" s="18">
        <f>539+11365.68+18838.33</f>
        <v>30743.010000000002</v>
      </c>
      <c r="J203" s="18">
        <f>1217.91+45177.15</f>
        <v>46395.060000000005</v>
      </c>
      <c r="K203" s="18"/>
      <c r="L203" s="19">
        <f t="shared" si="0"/>
        <v>316184.18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3083+148252.13</f>
        <v>151335.13</v>
      </c>
      <c r="G204" s="18">
        <f>393.1+42310.23</f>
        <v>42703.33</v>
      </c>
      <c r="H204" s="18">
        <f>6670.24+6146.7</f>
        <v>12816.939999999999</v>
      </c>
      <c r="I204" s="18">
        <f>1789.64+17781.87</f>
        <v>19571.509999999998</v>
      </c>
      <c r="J204" s="18"/>
      <c r="K204" s="18">
        <f>24191.4+1450.5</f>
        <v>25641.9</v>
      </c>
      <c r="L204" s="19">
        <f t="shared" si="0"/>
        <v>252068.81000000003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161322.68</v>
      </c>
      <c r="G205" s="18">
        <v>75091.28</v>
      </c>
      <c r="H205" s="18">
        <v>8091.31</v>
      </c>
      <c r="I205" s="18">
        <v>1875.53</v>
      </c>
      <c r="J205" s="18"/>
      <c r="K205" s="18"/>
      <c r="L205" s="19">
        <f t="shared" si="0"/>
        <v>246380.79999999999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124754.04</v>
      </c>
      <c r="G207" s="18">
        <v>65356.52</v>
      </c>
      <c r="H207" s="18">
        <v>183964.4</v>
      </c>
      <c r="I207" s="18">
        <v>170777.66</v>
      </c>
      <c r="J207" s="18">
        <v>475</v>
      </c>
      <c r="K207" s="18"/>
      <c r="L207" s="19">
        <f t="shared" si="0"/>
        <v>545327.62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8411.12+158213+7960</f>
        <v>174584.12</v>
      </c>
      <c r="I208" s="18">
        <f>240</f>
        <v>240</v>
      </c>
      <c r="J208" s="18"/>
      <c r="K208" s="18"/>
      <c r="L208" s="19">
        <f t="shared" si="0"/>
        <v>174824.12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3003015.22</v>
      </c>
      <c r="G211" s="41">
        <f t="shared" si="1"/>
        <v>1385479.6700000002</v>
      </c>
      <c r="H211" s="41">
        <f t="shared" si="1"/>
        <v>853691.01</v>
      </c>
      <c r="I211" s="41">
        <f t="shared" si="1"/>
        <v>285269.48</v>
      </c>
      <c r="J211" s="41">
        <f t="shared" si="1"/>
        <v>55056.3</v>
      </c>
      <c r="K211" s="41">
        <f t="shared" si="1"/>
        <v>28085.7</v>
      </c>
      <c r="L211" s="41">
        <f t="shared" si="1"/>
        <v>5610597.379999999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505720.92</v>
      </c>
      <c r="G215" s="18">
        <v>260972.4</v>
      </c>
      <c r="H215" s="18">
        <v>1170</v>
      </c>
      <c r="I215" s="18">
        <v>37933.07</v>
      </c>
      <c r="J215" s="18">
        <v>4045.13</v>
      </c>
      <c r="K215" s="18"/>
      <c r="L215" s="19">
        <f>SUM(F215:K215)</f>
        <v>809841.5199999999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206432.26+24088</f>
        <v>230520.26</v>
      </c>
      <c r="G216" s="18">
        <f>92352.66+5253.58</f>
        <v>97606.24</v>
      </c>
      <c r="H216" s="18">
        <f>12040.26-62.29</f>
        <v>11977.97</v>
      </c>
      <c r="I216" s="18">
        <v>1140.22</v>
      </c>
      <c r="J216" s="18">
        <v>59</v>
      </c>
      <c r="K216" s="18"/>
      <c r="L216" s="19">
        <f>SUM(F216:K216)</f>
        <v>341303.68999999994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2005.64</v>
      </c>
      <c r="G217" s="18">
        <v>2497.85</v>
      </c>
      <c r="H217" s="18"/>
      <c r="I217" s="18"/>
      <c r="J217" s="18"/>
      <c r="K217" s="18"/>
      <c r="L217" s="19">
        <f>SUM(F217:K217)</f>
        <v>4503.49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8331.74+20553+14469.16</f>
        <v>43353.899999999994</v>
      </c>
      <c r="G218" s="18">
        <f>1230.72+3044.18+1106.77</f>
        <v>5381.67</v>
      </c>
      <c r="H218" s="18">
        <f>1200+5907.12+300</f>
        <v>7407.12</v>
      </c>
      <c r="I218" s="18">
        <f>1197.37+15851.32+1499.54</f>
        <v>18548.23</v>
      </c>
      <c r="J218" s="18">
        <v>998</v>
      </c>
      <c r="K218" s="18">
        <f>524+1997.06</f>
        <v>2521.06</v>
      </c>
      <c r="L218" s="19">
        <f>SUM(F218:K218)</f>
        <v>78209.98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63440.64+19623.8</f>
        <v>83064.44</v>
      </c>
      <c r="G220" s="18">
        <f>14852.58+4240.34</f>
        <v>19092.919999999998</v>
      </c>
      <c r="H220" s="18"/>
      <c r="I220" s="18">
        <f>568.29+135.25</f>
        <v>703.54</v>
      </c>
      <c r="J220" s="18"/>
      <c r="K220" s="18"/>
      <c r="L220" s="19">
        <f t="shared" ref="L220:L226" si="2">SUM(F220:K220)</f>
        <v>102860.9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10490.45+41040.31+49144</f>
        <v>100674.76</v>
      </c>
      <c r="G221" s="18">
        <f>19488.14+20225.26+24872.46</f>
        <v>64585.859999999993</v>
      </c>
      <c r="H221" s="18">
        <f>2550.44+14184.5</f>
        <v>16734.939999999999</v>
      </c>
      <c r="I221" s="18">
        <f>9371.49+1147.28</f>
        <v>10518.77</v>
      </c>
      <c r="J221" s="18">
        <f>1045.42+13829.57</f>
        <v>14874.99</v>
      </c>
      <c r="K221" s="18">
        <v>1324</v>
      </c>
      <c r="L221" s="19">
        <f t="shared" si="2"/>
        <v>208713.31999999998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1049+71102.43</f>
        <v>72151.429999999993</v>
      </c>
      <c r="G222" s="18">
        <v>29091.54</v>
      </c>
      <c r="H222" s="18">
        <f>2794.38+1752.84</f>
        <v>4547.22</v>
      </c>
      <c r="I222" s="18">
        <f>635.49+4565.69</f>
        <v>5201.1799999999994</v>
      </c>
      <c r="J222" s="18"/>
      <c r="K222" s="18">
        <f>7327.76+454.66</f>
        <v>7782.42</v>
      </c>
      <c r="L222" s="19">
        <f t="shared" si="2"/>
        <v>118773.79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60703</v>
      </c>
      <c r="G223" s="18">
        <v>26892.74</v>
      </c>
      <c r="H223" s="18">
        <v>4461.2700000000004</v>
      </c>
      <c r="I223" s="18">
        <v>718.77</v>
      </c>
      <c r="J223" s="18"/>
      <c r="K223" s="18"/>
      <c r="L223" s="19">
        <f t="shared" si="2"/>
        <v>92775.780000000013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87418.38</v>
      </c>
      <c r="G225" s="18">
        <v>32666.92</v>
      </c>
      <c r="H225" s="18">
        <v>52606.73</v>
      </c>
      <c r="I225" s="18">
        <v>77064.800000000003</v>
      </c>
      <c r="J225" s="18">
        <v>12302.91</v>
      </c>
      <c r="K225" s="18"/>
      <c r="L225" s="19">
        <f t="shared" si="2"/>
        <v>262059.74000000002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17357.16+3443.36+53615+62.29</f>
        <v>74477.81</v>
      </c>
      <c r="I226" s="18">
        <v>61.66</v>
      </c>
      <c r="J226" s="18"/>
      <c r="K226" s="18"/>
      <c r="L226" s="19">
        <f t="shared" si="2"/>
        <v>74539.47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1185612.73</v>
      </c>
      <c r="G229" s="41">
        <f>SUM(G215:G228)</f>
        <v>538788.1399999999</v>
      </c>
      <c r="H229" s="41">
        <f>SUM(H215:H228)</f>
        <v>173383.06</v>
      </c>
      <c r="I229" s="41">
        <f>SUM(I215:I228)</f>
        <v>151890.24000000002</v>
      </c>
      <c r="J229" s="41">
        <f>SUM(J215:J228)</f>
        <v>32280.03</v>
      </c>
      <c r="K229" s="41">
        <f t="shared" si="3"/>
        <v>11627.48</v>
      </c>
      <c r="L229" s="41">
        <f t="shared" si="3"/>
        <v>2093581.68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1288988.46</v>
      </c>
      <c r="G233" s="18">
        <v>636466.86</v>
      </c>
      <c r="H233" s="18">
        <v>2659.28</v>
      </c>
      <c r="I233" s="4">
        <v>45059.07</v>
      </c>
      <c r="J233" s="18">
        <v>12995.41</v>
      </c>
      <c r="K233" s="18"/>
      <c r="L233" s="19">
        <f>SUM(F233:K233)</f>
        <v>1986169.0799999998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444751.65</v>
      </c>
      <c r="G234" s="18">
        <v>174829.89</v>
      </c>
      <c r="H234" s="18">
        <f>116879.06-18410.96</f>
        <v>98468.1</v>
      </c>
      <c r="I234" s="4">
        <v>2576.15</v>
      </c>
      <c r="J234" s="18">
        <v>2526.9699999999998</v>
      </c>
      <c r="K234" s="18"/>
      <c r="L234" s="19">
        <f>SUM(F234:K234)</f>
        <v>723152.76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3869.56</v>
      </c>
      <c r="G235" s="18">
        <v>305.35000000000002</v>
      </c>
      <c r="H235" s="18">
        <v>43088.51</v>
      </c>
      <c r="I235" s="4">
        <v>10388.35</v>
      </c>
      <c r="J235" s="18"/>
      <c r="K235" s="18"/>
      <c r="L235" s="19">
        <f>SUM(F235:K235)</f>
        <v>57651.77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26145+80356.75+14033.44</f>
        <v>120535.19</v>
      </c>
      <c r="G236" s="18">
        <f>4572.11+11550.96+2049.7</f>
        <v>18172.77</v>
      </c>
      <c r="H236" s="18">
        <f>225+21694.22+399.5</f>
        <v>22318.720000000001</v>
      </c>
      <c r="I236" s="4">
        <f>36994.68+11103.61+886.24</f>
        <v>48984.53</v>
      </c>
      <c r="J236" s="18">
        <v>998</v>
      </c>
      <c r="K236" s="18">
        <f>1729.69+7595.17</f>
        <v>9324.86</v>
      </c>
      <c r="L236" s="19">
        <f>SUM(F236:K236)</f>
        <v>220334.07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71450.26+38173.2</f>
        <v>109623.45999999999</v>
      </c>
      <c r="G238" s="18">
        <f>16710.36+29353.79</f>
        <v>46064.15</v>
      </c>
      <c r="H238" s="18">
        <f>157.92</f>
        <v>157.91999999999999</v>
      </c>
      <c r="I238" s="18">
        <f>978.5+262.73</f>
        <v>1241.23</v>
      </c>
      <c r="J238" s="18"/>
      <c r="K238" s="18"/>
      <c r="L238" s="19">
        <f t="shared" ref="L238:L244" si="4">SUM(F238:K238)</f>
        <v>157086.76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29837.1+50386.22+81829</f>
        <v>162052.32</v>
      </c>
      <c r="G239" s="18">
        <f>46539.05+12625.62+16687.74</f>
        <v>75852.41</v>
      </c>
      <c r="H239" s="18">
        <f>9920.15+20281.39</f>
        <v>30201.54</v>
      </c>
      <c r="I239" s="4">
        <f>17972.82+12443.98</f>
        <v>30416.799999999999</v>
      </c>
      <c r="J239" s="18">
        <f>1125.56+34472.96</f>
        <v>35598.519999999997</v>
      </c>
      <c r="K239" s="18">
        <v>4142</v>
      </c>
      <c r="L239" s="19">
        <f>SUM(F239:K239)</f>
        <v>338263.59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2034+98383.34</f>
        <v>100417.34</v>
      </c>
      <c r="G240" s="18">
        <f>39301.47+15.3</f>
        <v>39316.770000000004</v>
      </c>
      <c r="H240" s="18">
        <f>4918.01+4158.77</f>
        <v>9076.7800000000007</v>
      </c>
      <c r="I240" s="4">
        <f>1329.95+10956.2</f>
        <v>12286.150000000001</v>
      </c>
      <c r="J240" s="18"/>
      <c r="K240" s="18">
        <f>16688.26+995.84</f>
        <v>17684.099999999999</v>
      </c>
      <c r="L240" s="19">
        <f>SUM(F240:K240)</f>
        <v>178781.13999999998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191330.41</v>
      </c>
      <c r="G241" s="18">
        <v>97557.9</v>
      </c>
      <c r="H241" s="18">
        <f>9238.11</f>
        <v>9238.11</v>
      </c>
      <c r="I241" s="4">
        <v>2833.32</v>
      </c>
      <c r="J241" s="18">
        <v>1617</v>
      </c>
      <c r="K241" s="18">
        <v>7860.92</v>
      </c>
      <c r="L241" s="19">
        <f>SUM(F241:K241)</f>
        <v>310437.65999999997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4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218941.07</v>
      </c>
      <c r="G243" s="18">
        <v>132015.85999999999</v>
      </c>
      <c r="H243" s="18">
        <v>107688.2</v>
      </c>
      <c r="I243" s="4">
        <v>165995.57</v>
      </c>
      <c r="J243" s="18">
        <v>10294</v>
      </c>
      <c r="K243" s="18"/>
      <c r="L243" s="19">
        <f t="shared" si="4"/>
        <v>634934.69999999995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57197+18683.26+6981.65+104074+18410.96</f>
        <v>205346.86999999997</v>
      </c>
      <c r="I244" s="18">
        <v>222.07</v>
      </c>
      <c r="J244" s="18"/>
      <c r="K244" s="18"/>
      <c r="L244" s="19">
        <f t="shared" si="4"/>
        <v>205568.93999999997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2640509.4599999995</v>
      </c>
      <c r="G247" s="41">
        <f t="shared" si="5"/>
        <v>1220581.96</v>
      </c>
      <c r="H247" s="41">
        <f t="shared" si="5"/>
        <v>528244.03</v>
      </c>
      <c r="I247" s="41">
        <f t="shared" si="5"/>
        <v>320003.24000000005</v>
      </c>
      <c r="J247" s="41">
        <f>SUM(J233:J246)</f>
        <v>64029.899999999994</v>
      </c>
      <c r="K247" s="41">
        <f t="shared" si="5"/>
        <v>39011.879999999997</v>
      </c>
      <c r="L247" s="41">
        <f t="shared" si="5"/>
        <v>4812380.47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6829137.4100000001</v>
      </c>
      <c r="G257" s="41">
        <f t="shared" si="8"/>
        <v>3144849.77</v>
      </c>
      <c r="H257" s="41">
        <f t="shared" si="8"/>
        <v>1555318.1</v>
      </c>
      <c r="I257" s="41">
        <f t="shared" si="8"/>
        <v>757162.96</v>
      </c>
      <c r="J257" s="41">
        <f t="shared" si="8"/>
        <v>151366.22999999998</v>
      </c>
      <c r="K257" s="41">
        <f t="shared" si="8"/>
        <v>78725.06</v>
      </c>
      <c r="L257" s="41">
        <f t="shared" si="8"/>
        <v>12516559.529999997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842062</v>
      </c>
      <c r="L260" s="19">
        <f>SUM(F260:K260)</f>
        <v>842062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133974.26</v>
      </c>
      <c r="L261" s="19">
        <f>SUM(F261:K261)</f>
        <v>133974.26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1051036.26</v>
      </c>
      <c r="L270" s="41">
        <f t="shared" si="9"/>
        <v>1051036.26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6829137.4100000001</v>
      </c>
      <c r="G271" s="42">
        <f t="shared" si="11"/>
        <v>3144849.77</v>
      </c>
      <c r="H271" s="42">
        <f t="shared" si="11"/>
        <v>1555318.1</v>
      </c>
      <c r="I271" s="42">
        <f t="shared" si="11"/>
        <v>757162.96</v>
      </c>
      <c r="J271" s="42">
        <f t="shared" si="11"/>
        <v>151366.22999999998</v>
      </c>
      <c r="K271" s="42">
        <f t="shared" si="11"/>
        <v>1129761.32</v>
      </c>
      <c r="L271" s="42">
        <f t="shared" si="11"/>
        <v>13567595.789999997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81284.49</f>
        <v>81284.490000000005</v>
      </c>
      <c r="G276" s="18">
        <f>6067.22+8101.82</f>
        <v>14169.04</v>
      </c>
      <c r="H276" s="18"/>
      <c r="I276" s="18"/>
      <c r="J276" s="18"/>
      <c r="K276" s="18"/>
      <c r="L276" s="19">
        <f>SUM(F276:K276)</f>
        <v>95453.53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74413.33+2304</f>
        <v>76717.33</v>
      </c>
      <c r="G277" s="18">
        <f>12740.08+6090.31+8256.67</f>
        <v>27087.059999999998</v>
      </c>
      <c r="H277" s="18">
        <f>28840</f>
        <v>28840</v>
      </c>
      <c r="I277" s="18"/>
      <c r="J277" s="18"/>
      <c r="K277" s="18"/>
      <c r="L277" s="19">
        <f>SUM(F277:K277)</f>
        <v>132644.39000000001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18815</v>
      </c>
      <c r="I281" s="18"/>
      <c r="J281" s="18"/>
      <c r="K281" s="18"/>
      <c r="L281" s="19">
        <f t="shared" ref="L281:L287" si="12">SUM(F281:K281)</f>
        <v>18815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158001.82</v>
      </c>
      <c r="G290" s="42">
        <f t="shared" si="13"/>
        <v>41256.1</v>
      </c>
      <c r="H290" s="42">
        <f t="shared" si="13"/>
        <v>47655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246912.92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f>39043.84</f>
        <v>39043.839999999997</v>
      </c>
      <c r="I300" s="18">
        <f>2641.92</f>
        <v>2641.92</v>
      </c>
      <c r="J300" s="18"/>
      <c r="K300" s="18"/>
      <c r="L300" s="19">
        <f t="shared" ref="L300:L306" si="14">SUM(F300:K300)</f>
        <v>41685.759999999995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39043.839999999997</v>
      </c>
      <c r="I309" s="42">
        <f t="shared" si="15"/>
        <v>2641.92</v>
      </c>
      <c r="J309" s="42">
        <f t="shared" si="15"/>
        <v>0</v>
      </c>
      <c r="K309" s="42">
        <f t="shared" si="15"/>
        <v>0</v>
      </c>
      <c r="L309" s="41">
        <f t="shared" si="15"/>
        <v>41685.759999999995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158001.82</v>
      </c>
      <c r="G338" s="41">
        <f t="shared" si="20"/>
        <v>41256.1</v>
      </c>
      <c r="H338" s="41">
        <f t="shared" si="20"/>
        <v>86698.84</v>
      </c>
      <c r="I338" s="41">
        <f t="shared" si="20"/>
        <v>2641.92</v>
      </c>
      <c r="J338" s="41">
        <f t="shared" si="20"/>
        <v>0</v>
      </c>
      <c r="K338" s="41">
        <f t="shared" si="20"/>
        <v>0</v>
      </c>
      <c r="L338" s="41">
        <f t="shared" si="20"/>
        <v>288598.68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158001.82</v>
      </c>
      <c r="G352" s="41">
        <f>G338</f>
        <v>41256.1</v>
      </c>
      <c r="H352" s="41">
        <f>H338</f>
        <v>86698.84</v>
      </c>
      <c r="I352" s="41">
        <f>I338</f>
        <v>2641.92</v>
      </c>
      <c r="J352" s="41">
        <f>J338</f>
        <v>0</v>
      </c>
      <c r="K352" s="47">
        <f>K338+K351</f>
        <v>0</v>
      </c>
      <c r="L352" s="41">
        <f>L338+L351</f>
        <v>288598.68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211393*0.5</f>
        <v>105696.5</v>
      </c>
      <c r="I358" s="18"/>
      <c r="J358" s="18"/>
      <c r="K358" s="18"/>
      <c r="L358" s="13">
        <f>SUM(F358:K358)</f>
        <v>105696.5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211393-H358-H360</f>
        <v>35936.81</v>
      </c>
      <c r="I359" s="18"/>
      <c r="J359" s="18"/>
      <c r="K359" s="18"/>
      <c r="L359" s="19">
        <f>SUM(F359:K359)</f>
        <v>35936.81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211393*0.33</f>
        <v>69759.69</v>
      </c>
      <c r="I360" s="18"/>
      <c r="J360" s="18"/>
      <c r="K360" s="18"/>
      <c r="L360" s="19">
        <f>SUM(F360:K360)</f>
        <v>69759.69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211393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211393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f>372.12</f>
        <v>372.12</v>
      </c>
      <c r="I395" s="18">
        <f>1834658.54-H395</f>
        <v>1834286.42</v>
      </c>
      <c r="J395" s="24" t="s">
        <v>289</v>
      </c>
      <c r="K395" s="24" t="s">
        <v>289</v>
      </c>
      <c r="L395" s="56">
        <f t="shared" ref="L395:L400" si="26">SUM(F395:K395)</f>
        <v>1834658.54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f>1493.13+1212.91</f>
        <v>2706.04</v>
      </c>
      <c r="I396" s="18"/>
      <c r="J396" s="24" t="s">
        <v>289</v>
      </c>
      <c r="K396" s="24" t="s">
        <v>289</v>
      </c>
      <c r="L396" s="56">
        <f t="shared" si="26"/>
        <v>2706.04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75000</v>
      </c>
      <c r="H397" s="18">
        <f>888.94+1057.36</f>
        <v>1946.3</v>
      </c>
      <c r="I397" s="18"/>
      <c r="J397" s="24" t="s">
        <v>289</v>
      </c>
      <c r="K397" s="24" t="s">
        <v>289</v>
      </c>
      <c r="L397" s="56">
        <f t="shared" si="26"/>
        <v>76946.3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145.03+1127.86+44.8+124.2</f>
        <v>1441.8899999999999</v>
      </c>
      <c r="I400" s="18">
        <v>350</v>
      </c>
      <c r="J400" s="24" t="s">
        <v>289</v>
      </c>
      <c r="K400" s="24" t="s">
        <v>289</v>
      </c>
      <c r="L400" s="56">
        <f t="shared" si="26"/>
        <v>1791.8899999999999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6466.35</v>
      </c>
      <c r="I401" s="47">
        <f>SUM(I395:I400)</f>
        <v>1834636.42</v>
      </c>
      <c r="J401" s="45" t="s">
        <v>289</v>
      </c>
      <c r="K401" s="45" t="s">
        <v>289</v>
      </c>
      <c r="L401" s="47">
        <f>SUM(L395:L400)</f>
        <v>1916102.77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6466.35</v>
      </c>
      <c r="I408" s="47">
        <f>I393+I401+I407</f>
        <v>1834636.42</v>
      </c>
      <c r="J408" s="24" t="s">
        <v>289</v>
      </c>
      <c r="K408" s="24" t="s">
        <v>289</v>
      </c>
      <c r="L408" s="47">
        <f>L393+L401+L407</f>
        <v>1916102.77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>
        <v>1590096.25</v>
      </c>
      <c r="H421" s="18"/>
      <c r="I421" s="18"/>
      <c r="J421" s="18"/>
      <c r="K421" s="18"/>
      <c r="L421" s="56">
        <f t="shared" ref="L421:L426" si="29">SUM(F421:K421)</f>
        <v>1590096.25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50000</v>
      </c>
      <c r="L422" s="56">
        <f t="shared" si="29"/>
        <v>50000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f>350.17+604.5</f>
        <v>954.67000000000007</v>
      </c>
      <c r="I426" s="18"/>
      <c r="J426" s="18"/>
      <c r="K426" s="18"/>
      <c r="L426" s="56">
        <f t="shared" si="29"/>
        <v>954.67000000000007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1590096.25</v>
      </c>
      <c r="H427" s="47">
        <f t="shared" si="30"/>
        <v>954.67000000000007</v>
      </c>
      <c r="I427" s="47">
        <f t="shared" si="30"/>
        <v>0</v>
      </c>
      <c r="J427" s="47">
        <f t="shared" si="30"/>
        <v>0</v>
      </c>
      <c r="K427" s="47">
        <f t="shared" si="30"/>
        <v>50000</v>
      </c>
      <c r="L427" s="47">
        <f t="shared" si="30"/>
        <v>1641050.92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1590096.25</v>
      </c>
      <c r="H434" s="47">
        <f t="shared" si="32"/>
        <v>954.67000000000007</v>
      </c>
      <c r="I434" s="47">
        <f t="shared" si="32"/>
        <v>0</v>
      </c>
      <c r="J434" s="47">
        <f t="shared" si="32"/>
        <v>0</v>
      </c>
      <c r="K434" s="47">
        <f t="shared" si="32"/>
        <v>50000</v>
      </c>
      <c r="L434" s="47">
        <f t="shared" si="32"/>
        <v>1641050.92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817002+442272.63+385551.89+16335.51+45289.24</f>
        <v>1706451.27</v>
      </c>
      <c r="H440" s="18"/>
      <c r="I440" s="56">
        <f t="shared" si="33"/>
        <v>1706451.27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1706451.27</v>
      </c>
      <c r="H446" s="13">
        <f>SUM(H439:H445)</f>
        <v>0</v>
      </c>
      <c r="I446" s="13">
        <f>SUM(I439:I445)</f>
        <v>1706451.27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817002+442272.63+385551.89+16335.51+45289.24</f>
        <v>1706451.27</v>
      </c>
      <c r="H459" s="18"/>
      <c r="I459" s="56">
        <f t="shared" si="34"/>
        <v>1706451.27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1706451.27</v>
      </c>
      <c r="H460" s="83">
        <f>SUM(H454:H459)</f>
        <v>0</v>
      </c>
      <c r="I460" s="83">
        <f>SUM(I454:I459)</f>
        <v>1706451.27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1706451.27</v>
      </c>
      <c r="H461" s="42">
        <f>H452+H460</f>
        <v>0</v>
      </c>
      <c r="I461" s="42">
        <f>I452+I460</f>
        <v>1706451.27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582883.9</v>
      </c>
      <c r="G465" s="18">
        <v>3240.46</v>
      </c>
      <c r="H465" s="18">
        <v>0</v>
      </c>
      <c r="I465" s="18">
        <v>0</v>
      </c>
      <c r="J465" s="18">
        <f>1371589-1814.33</f>
        <v>1369774.67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13596317.220000001</v>
      </c>
      <c r="G468" s="18">
        <v>211443.12</v>
      </c>
      <c r="H468" s="18">
        <v>288598.68</v>
      </c>
      <c r="I468" s="18"/>
      <c r="J468" s="18">
        <v>1916102.77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f>16335.51+45289.24</f>
        <v>61624.75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13596317.220000001</v>
      </c>
      <c r="G470" s="53">
        <f>SUM(G468:G469)</f>
        <v>211443.12</v>
      </c>
      <c r="H470" s="53">
        <f>SUM(H468:H469)</f>
        <v>288598.68</v>
      </c>
      <c r="I470" s="53">
        <f>SUM(I468:I469)</f>
        <v>0</v>
      </c>
      <c r="J470" s="53">
        <f>SUM(J468:J469)</f>
        <v>1977727.52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13567595.789999999</v>
      </c>
      <c r="G472" s="18">
        <v>211393</v>
      </c>
      <c r="H472" s="18">
        <v>288598.68</v>
      </c>
      <c r="I472" s="18"/>
      <c r="J472" s="18">
        <v>1641050.92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13567595.789999999</v>
      </c>
      <c r="G474" s="53">
        <f>SUM(G472:G473)</f>
        <v>211393</v>
      </c>
      <c r="H474" s="53">
        <f>SUM(H472:H473)</f>
        <v>288598.68</v>
      </c>
      <c r="I474" s="53">
        <f>SUM(I472:I473)</f>
        <v>0</v>
      </c>
      <c r="J474" s="53">
        <f>SUM(J472:J473)</f>
        <v>1641050.92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611605.33000000194</v>
      </c>
      <c r="G476" s="53">
        <f>(G465+G470)- G474</f>
        <v>3290.5799999999872</v>
      </c>
      <c r="H476" s="53">
        <f>(H465+H470)- H474</f>
        <v>0</v>
      </c>
      <c r="I476" s="53">
        <f>(I465+I470)- I474</f>
        <v>0</v>
      </c>
      <c r="J476" s="53">
        <f>(J465+J470)- J474</f>
        <v>1706451.27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274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11362231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3.98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2937507.21</v>
      </c>
      <c r="G495" s="18"/>
      <c r="H495" s="18"/>
      <c r="I495" s="18"/>
      <c r="J495" s="18"/>
      <c r="K495" s="53">
        <f>SUM(F495:J495)</f>
        <v>2937507.21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2734553.12</v>
      </c>
      <c r="G498" s="204"/>
      <c r="H498" s="204"/>
      <c r="I498" s="204"/>
      <c r="J498" s="204"/>
      <c r="K498" s="205">
        <f t="shared" si="35"/>
        <v>2734553.12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100127+65125+28303</f>
        <v>193555</v>
      </c>
      <c r="G499" s="18"/>
      <c r="H499" s="18"/>
      <c r="I499" s="18"/>
      <c r="J499" s="18"/>
      <c r="K499" s="53">
        <f t="shared" si="35"/>
        <v>193555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2928108.12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2928108.12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875909</v>
      </c>
      <c r="G501" s="204"/>
      <c r="H501" s="204"/>
      <c r="I501" s="204"/>
      <c r="J501" s="204"/>
      <c r="K501" s="205">
        <f t="shared" si="35"/>
        <v>875909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100127</v>
      </c>
      <c r="G502" s="18"/>
      <c r="H502" s="18"/>
      <c r="I502" s="18"/>
      <c r="J502" s="18"/>
      <c r="K502" s="53">
        <f t="shared" si="35"/>
        <v>100127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976036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976036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637047.83-68157+F277</f>
        <v>645608.15999999992</v>
      </c>
      <c r="G521" s="18">
        <f>289547.88+976-29630.76</f>
        <v>260893.12</v>
      </c>
      <c r="H521" s="18">
        <f>439082.61-7960+H272</f>
        <v>431122.61</v>
      </c>
      <c r="I521" s="18">
        <v>11901.89</v>
      </c>
      <c r="J521" s="18">
        <v>5015.8100000000004</v>
      </c>
      <c r="K521" s="18">
        <v>2443.8000000000002</v>
      </c>
      <c r="L521" s="88">
        <f>SUM(F521:K521)</f>
        <v>1356985.39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206432.26-21810.24</f>
        <v>184622.02000000002</v>
      </c>
      <c r="G522" s="18">
        <f>92352.66-10074.46+G277</f>
        <v>109365.26000000001</v>
      </c>
      <c r="H522" s="18">
        <f>12040.26-62.29</f>
        <v>11977.97</v>
      </c>
      <c r="I522" s="18">
        <v>1140.22</v>
      </c>
      <c r="J522" s="18">
        <v>59</v>
      </c>
      <c r="K522" s="18"/>
      <c r="L522" s="88">
        <f>SUM(F522:K522)</f>
        <v>307164.46999999997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444751.65-46346.76</f>
        <v>398404.89</v>
      </c>
      <c r="G523" s="18">
        <f>174829.89-19556.3</f>
        <v>155273.59000000003</v>
      </c>
      <c r="H523" s="18">
        <f>116879.06-18410.96</f>
        <v>98468.1</v>
      </c>
      <c r="I523" s="4">
        <v>2576.15</v>
      </c>
      <c r="J523" s="18">
        <v>2526.9699999999998</v>
      </c>
      <c r="K523" s="18"/>
      <c r="L523" s="88">
        <f>SUM(F523:K523)</f>
        <v>657249.69999999995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1228635.0699999998</v>
      </c>
      <c r="G524" s="108">
        <f t="shared" ref="G524:L524" si="36">SUM(G521:G523)</f>
        <v>525531.97</v>
      </c>
      <c r="H524" s="108">
        <f>SUM(H521:H523)</f>
        <v>541568.67999999993</v>
      </c>
      <c r="I524" s="108">
        <f t="shared" si="36"/>
        <v>15618.259999999998</v>
      </c>
      <c r="J524" s="108">
        <f t="shared" si="36"/>
        <v>7601.7800000000007</v>
      </c>
      <c r="K524" s="108">
        <f t="shared" si="36"/>
        <v>2443.8000000000002</v>
      </c>
      <c r="L524" s="89">
        <f t="shared" si="36"/>
        <v>2321399.5599999996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>SUM(H526:H528)</f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(90946+45368)*0.5</f>
        <v>68157</v>
      </c>
      <c r="G531" s="18">
        <f>(41970.58+17290.94)*0.5</f>
        <v>29630.760000000002</v>
      </c>
      <c r="H531" s="18"/>
      <c r="I531" s="18"/>
      <c r="J531" s="18"/>
      <c r="K531" s="18"/>
      <c r="L531" s="88">
        <f>SUM(F531:K531)</f>
        <v>97787.760000000009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(90946+45368)-F531-F533</f>
        <v>21810.239999999998</v>
      </c>
      <c r="G532" s="18">
        <f>(41970.58+17290.94)-G531-G533</f>
        <v>10074.4584</v>
      </c>
      <c r="H532" s="18"/>
      <c r="I532" s="18"/>
      <c r="J532" s="18"/>
      <c r="K532" s="18"/>
      <c r="L532" s="88">
        <f>SUM(F532:K532)</f>
        <v>31884.698399999997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(90946+45368)*0.34</f>
        <v>46346.76</v>
      </c>
      <c r="G533" s="18">
        <f>(41970.58+17290.94)*0.33</f>
        <v>19556.301600000003</v>
      </c>
      <c r="H533" s="18"/>
      <c r="I533" s="18"/>
      <c r="J533" s="18"/>
      <c r="K533" s="18"/>
      <c r="L533" s="88">
        <f>SUM(F533:K533)</f>
        <v>65903.061600000001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136314</v>
      </c>
      <c r="G534" s="89">
        <f t="shared" ref="G534:L534" si="38">SUM(G531:G533)</f>
        <v>59261.520000000004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195575.52000000002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1500</v>
      </c>
      <c r="I537" s="18"/>
      <c r="J537" s="18"/>
      <c r="K537" s="18"/>
      <c r="L537" s="88">
        <f>SUM(F537:K537)</f>
        <v>1500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1500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1500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7960</v>
      </c>
      <c r="I541" s="18"/>
      <c r="J541" s="18"/>
      <c r="K541" s="18"/>
      <c r="L541" s="88">
        <f>SUM(F541:K541)</f>
        <v>7960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62.29</v>
      </c>
      <c r="I542" s="18"/>
      <c r="J542" s="18"/>
      <c r="K542" s="18"/>
      <c r="L542" s="88">
        <f>SUM(F542:K542)</f>
        <v>62.29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18410.96</v>
      </c>
      <c r="I543" s="18"/>
      <c r="J543" s="18"/>
      <c r="K543" s="18"/>
      <c r="L543" s="88">
        <f>SUM(F543:K543)</f>
        <v>18410.96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26433.25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26433.25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1364949.0699999998</v>
      </c>
      <c r="G545" s="89">
        <f t="shared" ref="G545:L545" si="41">G524+G529+G534+G539+G544</f>
        <v>584793.49</v>
      </c>
      <c r="H545" s="89">
        <f t="shared" si="41"/>
        <v>569501.92999999993</v>
      </c>
      <c r="I545" s="89">
        <f t="shared" si="41"/>
        <v>15618.259999999998</v>
      </c>
      <c r="J545" s="89">
        <f t="shared" si="41"/>
        <v>7601.7800000000007</v>
      </c>
      <c r="K545" s="89">
        <f t="shared" si="41"/>
        <v>2443.8000000000002</v>
      </c>
      <c r="L545" s="89">
        <f t="shared" si="41"/>
        <v>2544908.3299999996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1356985.39</v>
      </c>
      <c r="G549" s="87">
        <f>L526</f>
        <v>0</v>
      </c>
      <c r="H549" s="87">
        <f>L531</f>
        <v>97787.760000000009</v>
      </c>
      <c r="I549" s="87">
        <f>L536</f>
        <v>0</v>
      </c>
      <c r="J549" s="87">
        <f>L541</f>
        <v>7960</v>
      </c>
      <c r="K549" s="87">
        <f>SUM(F549:J549)</f>
        <v>1462733.15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307164.46999999997</v>
      </c>
      <c r="G550" s="87">
        <f>L527</f>
        <v>0</v>
      </c>
      <c r="H550" s="87">
        <f>L532</f>
        <v>31884.698399999997</v>
      </c>
      <c r="I550" s="87">
        <f>L537</f>
        <v>1500</v>
      </c>
      <c r="J550" s="87">
        <f>L542</f>
        <v>62.29</v>
      </c>
      <c r="K550" s="87">
        <f>SUM(F550:J550)</f>
        <v>340611.45839999994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657249.69999999995</v>
      </c>
      <c r="G551" s="87">
        <f>L528</f>
        <v>0</v>
      </c>
      <c r="H551" s="87">
        <f>L533</f>
        <v>65903.061600000001</v>
      </c>
      <c r="I551" s="87">
        <f>L538</f>
        <v>0</v>
      </c>
      <c r="J551" s="87">
        <f>L543</f>
        <v>18410.96</v>
      </c>
      <c r="K551" s="87">
        <f>SUM(F551:J551)</f>
        <v>741563.72159999993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2321399.5599999996</v>
      </c>
      <c r="G552" s="89">
        <f t="shared" si="42"/>
        <v>0</v>
      </c>
      <c r="H552" s="89">
        <f t="shared" si="42"/>
        <v>195575.52000000002</v>
      </c>
      <c r="I552" s="89">
        <f t="shared" si="42"/>
        <v>1500</v>
      </c>
      <c r="J552" s="89">
        <f t="shared" si="42"/>
        <v>26433.25</v>
      </c>
      <c r="K552" s="89">
        <f t="shared" si="42"/>
        <v>2544908.3299999996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24088</v>
      </c>
      <c r="G563" s="18">
        <f>976+1842.65+3410.93</f>
        <v>6229.58</v>
      </c>
      <c r="H563" s="18"/>
      <c r="I563" s="18"/>
      <c r="J563" s="18"/>
      <c r="K563" s="18"/>
      <c r="L563" s="88">
        <f>SUM(F563:K563)</f>
        <v>30317.58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24088</v>
      </c>
      <c r="G565" s="89">
        <f t="shared" si="44"/>
        <v>6229.58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30317.58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24088</v>
      </c>
      <c r="G571" s="89">
        <f t="shared" ref="G571:L571" si="46">G560+G565+G570</f>
        <v>6229.58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30317.58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273438.78999999998</v>
      </c>
      <c r="G582" s="18"/>
      <c r="H582" s="18">
        <v>45062.8</v>
      </c>
      <c r="I582" s="87">
        <f t="shared" si="47"/>
        <v>318501.58999999997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43088.51</v>
      </c>
      <c r="I584" s="87">
        <f t="shared" si="47"/>
        <v>43088.51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158213</v>
      </c>
      <c r="I591" s="18">
        <v>53615</v>
      </c>
      <c r="J591" s="18">
        <v>104074</v>
      </c>
      <c r="K591" s="104">
        <f t="shared" ref="K591:K597" si="48">SUM(H591:J591)</f>
        <v>315902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7960</v>
      </c>
      <c r="I592" s="18">
        <v>62.29</v>
      </c>
      <c r="J592" s="18">
        <v>18410.96</v>
      </c>
      <c r="K592" s="104">
        <f t="shared" si="48"/>
        <v>26433.25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57197</v>
      </c>
      <c r="K593" s="104">
        <f t="shared" si="48"/>
        <v>57197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17357.16</v>
      </c>
      <c r="J594" s="18">
        <v>18683.259999999998</v>
      </c>
      <c r="K594" s="104">
        <f t="shared" si="48"/>
        <v>36040.42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8411.12+240</f>
        <v>8651.1200000000008</v>
      </c>
      <c r="I595" s="18">
        <f>2321.29+1122.07+61.66</f>
        <v>3505.0199999999995</v>
      </c>
      <c r="J595" s="18">
        <f>5984.88+996.77+222.07</f>
        <v>7203.7199999999993</v>
      </c>
      <c r="K595" s="104">
        <f t="shared" si="48"/>
        <v>19359.86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174824.12</v>
      </c>
      <c r="I598" s="108">
        <f>SUM(I591:I597)</f>
        <v>74539.47</v>
      </c>
      <c r="J598" s="108">
        <f>SUM(J591:J597)</f>
        <v>205568.94</v>
      </c>
      <c r="K598" s="108">
        <f>SUM(K591:K597)</f>
        <v>454932.52999999997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</f>
        <v>55056.3</v>
      </c>
      <c r="I604" s="18">
        <f>J229</f>
        <v>32280.03</v>
      </c>
      <c r="J604" s="18">
        <f>J247</f>
        <v>64029.899999999994</v>
      </c>
      <c r="K604" s="104">
        <f>SUM(H604:J604)</f>
        <v>151366.22999999998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55056.3</v>
      </c>
      <c r="I605" s="108">
        <f>SUM(I602:I604)</f>
        <v>32280.03</v>
      </c>
      <c r="J605" s="108">
        <f>SUM(J602:J604)</f>
        <v>64029.899999999994</v>
      </c>
      <c r="K605" s="108">
        <f>SUM(K602:K604)</f>
        <v>151366.22999999998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23836.09</v>
      </c>
      <c r="G611" s="18">
        <f>1823.46+3191.76</f>
        <v>5015.22</v>
      </c>
      <c r="H611" s="18"/>
      <c r="I611" s="18"/>
      <c r="J611" s="18"/>
      <c r="K611" s="18"/>
      <c r="L611" s="88">
        <f>SUM(F611:K611)</f>
        <v>28851.31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8030.23</v>
      </c>
      <c r="G613" s="18">
        <f>614.31+1137.08</f>
        <v>1751.3899999999999</v>
      </c>
      <c r="H613" s="18"/>
      <c r="I613" s="18"/>
      <c r="J613" s="18"/>
      <c r="K613" s="18"/>
      <c r="L613" s="88">
        <f>SUM(F613:K613)</f>
        <v>9781.619999999999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31866.32</v>
      </c>
      <c r="G614" s="108">
        <f t="shared" si="49"/>
        <v>6766.6100000000006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38632.93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1109093.3999999999</v>
      </c>
      <c r="H617" s="109">
        <f>SUM(F52)</f>
        <v>1109093.3999999999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46311.97</v>
      </c>
      <c r="H618" s="109">
        <f>SUM(G52)</f>
        <v>46311.97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155977.72</v>
      </c>
      <c r="H619" s="109">
        <f>SUM(H52)</f>
        <v>155977.72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1706451.27</v>
      </c>
      <c r="H621" s="109">
        <f>SUM(J52)</f>
        <v>1706451.27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611605.32999999984</v>
      </c>
      <c r="H622" s="109">
        <f>F476</f>
        <v>611605.33000000194</v>
      </c>
      <c r="I622" s="121" t="s">
        <v>101</v>
      </c>
      <c r="J622" s="109">
        <f t="shared" ref="J622:J655" si="50">G622-H622</f>
        <v>-2.0954757928848267E-9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3290.58</v>
      </c>
      <c r="H623" s="109">
        <f>G476</f>
        <v>3290.5799999999872</v>
      </c>
      <c r="I623" s="121" t="s">
        <v>102</v>
      </c>
      <c r="J623" s="109">
        <f t="shared" si="50"/>
        <v>1.2732925824820995E-11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1706451.27</v>
      </c>
      <c r="H626" s="109">
        <f>J476</f>
        <v>1706451.27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13596317.220000001</v>
      </c>
      <c r="H627" s="104">
        <f>SUM(F468)</f>
        <v>13596317.220000001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211443.12</v>
      </c>
      <c r="H628" s="104">
        <f>SUM(G468)</f>
        <v>211443.12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288598.68000000005</v>
      </c>
      <c r="H629" s="104">
        <f>SUM(H468)</f>
        <v>288598.68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1916102.77</v>
      </c>
      <c r="H631" s="104">
        <f>SUM(J468)</f>
        <v>1916102.77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13567595.789999997</v>
      </c>
      <c r="H632" s="104">
        <f>SUM(F472)</f>
        <v>13567595.789999999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288598.68</v>
      </c>
      <c r="H633" s="104">
        <f>SUM(H472)</f>
        <v>288598.68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211393</v>
      </c>
      <c r="H635" s="104">
        <f>SUM(G472)</f>
        <v>211393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1916102.77</v>
      </c>
      <c r="H637" s="164">
        <f>SUM(J468)</f>
        <v>1916102.77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1641050.92</v>
      </c>
      <c r="H638" s="164">
        <f>SUM(J472)</f>
        <v>1641050.92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1706451.27</v>
      </c>
      <c r="H640" s="104">
        <f>SUM(G461)</f>
        <v>1706451.27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1706451.27</v>
      </c>
      <c r="H642" s="104">
        <f>SUM(I461)</f>
        <v>1706451.27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6466.35</v>
      </c>
      <c r="H644" s="104">
        <f>H408</f>
        <v>6466.35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1916102.77</v>
      </c>
      <c r="H646" s="104">
        <f>L408</f>
        <v>1916102.77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454932.52999999997</v>
      </c>
      <c r="H647" s="104">
        <f>L208+L226+L244</f>
        <v>454932.52999999997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151366.22999999998</v>
      </c>
      <c r="H648" s="104">
        <f>(J257+J338)-(J255+J336)</f>
        <v>151366.22999999998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174824.12</v>
      </c>
      <c r="H649" s="104">
        <f>H598</f>
        <v>174824.12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74539.47</v>
      </c>
      <c r="H650" s="104">
        <f>I598</f>
        <v>74539.47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205568.93999999997</v>
      </c>
      <c r="H651" s="104">
        <f>J598</f>
        <v>205568.94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5963206.7999999989</v>
      </c>
      <c r="G660" s="19">
        <f>(L229+L309+L359)</f>
        <v>2171204.25</v>
      </c>
      <c r="H660" s="19">
        <f>(L247+L328+L360)</f>
        <v>4882140.16</v>
      </c>
      <c r="I660" s="19">
        <f>SUM(F660:H660)</f>
        <v>13016551.209999999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62518.34</v>
      </c>
      <c r="G661" s="19">
        <f>(L359/IF(SUM(L358:L360)=0,1,SUM(L358:L360))*(SUM(G97:G110)))</f>
        <v>21256.235599999996</v>
      </c>
      <c r="H661" s="19">
        <f>(L360/IF(SUM(L358:L360)=0,1,SUM(L358:L360))*(SUM(G97:G110)))</f>
        <v>41262.104399999997</v>
      </c>
      <c r="I661" s="19">
        <f>SUM(F661:H661)</f>
        <v>125036.68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174824.12</v>
      </c>
      <c r="G662" s="19">
        <f>(L226+L306)-(J226+J306)</f>
        <v>74539.47</v>
      </c>
      <c r="H662" s="19">
        <f>(L244+L325)-(J244+J325)</f>
        <v>205568.93999999997</v>
      </c>
      <c r="I662" s="19">
        <f>SUM(F662:H662)</f>
        <v>454932.52999999997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357346.39999999997</v>
      </c>
      <c r="G663" s="199">
        <f>SUM(G575:G587)+SUM(I602:I604)+L612</f>
        <v>32280.03</v>
      </c>
      <c r="H663" s="199">
        <f>SUM(H575:H587)+SUM(J602:J604)+L613</f>
        <v>161962.82999999999</v>
      </c>
      <c r="I663" s="19">
        <f>SUM(F663:H663)</f>
        <v>551589.25999999989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5368517.9399999985</v>
      </c>
      <c r="G664" s="19">
        <f>G660-SUM(G661:G663)</f>
        <v>2043128.5144</v>
      </c>
      <c r="H664" s="19">
        <f>H660-SUM(H661:H663)</f>
        <v>4473346.2856000001</v>
      </c>
      <c r="I664" s="19">
        <f>I660-SUM(I661:I663)</f>
        <v>11884992.739999998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235.99</v>
      </c>
      <c r="G665" s="248">
        <v>83.3</v>
      </c>
      <c r="H665" s="248">
        <v>185.56</v>
      </c>
      <c r="I665" s="19">
        <f>SUM(F665:H665)</f>
        <v>504.85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22748.92</v>
      </c>
      <c r="G667" s="19">
        <f>ROUND(G664/G665,2)</f>
        <v>24527.35</v>
      </c>
      <c r="H667" s="19">
        <f>ROUND(H664/H665,2)</f>
        <v>24107.279999999999</v>
      </c>
      <c r="I667" s="19">
        <f>ROUND(I664/I665,2)</f>
        <v>23541.63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-3.89</v>
      </c>
      <c r="I670" s="19">
        <f>SUM(F670:H670)</f>
        <v>-3.89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22748.92</v>
      </c>
      <c r="G672" s="19">
        <f>ROUND((G664+G669)/(G665+G670),2)</f>
        <v>24527.35</v>
      </c>
      <c r="H672" s="19">
        <f>ROUND((H664+H669)/(H665+H670),2)</f>
        <v>24623.47</v>
      </c>
      <c r="I672" s="19">
        <f>ROUND((I664+I669)/(I665+I670),2)</f>
        <v>23724.43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Moultonborough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3526122.56</v>
      </c>
      <c r="C9" s="229">
        <f>'DOE25'!G197+'DOE25'!G215+'DOE25'!G233+'DOE25'!G276+'DOE25'!G295+'DOE25'!G314</f>
        <v>1679371.26</v>
      </c>
    </row>
    <row r="10" spans="1:3" x14ac:dyDescent="0.2">
      <c r="A10" t="s">
        <v>779</v>
      </c>
      <c r="B10" s="240">
        <f>1441289.39+452501.45+1242548.98+81284.49</f>
        <v>3217624.31</v>
      </c>
      <c r="C10" s="240">
        <v>1597667.72</v>
      </c>
    </row>
    <row r="11" spans="1:3" x14ac:dyDescent="0.2">
      <c r="A11" t="s">
        <v>780</v>
      </c>
      <c r="B11" s="240">
        <f>147702.78+43184.47</f>
        <v>190887.25</v>
      </c>
      <c r="C11" s="240">
        <v>72412.27</v>
      </c>
    </row>
    <row r="12" spans="1:3" x14ac:dyDescent="0.2">
      <c r="A12" t="s">
        <v>781</v>
      </c>
      <c r="B12" s="240">
        <f>61136.52+10035+46439.48</f>
        <v>117611</v>
      </c>
      <c r="C12" s="240">
        <v>9291.27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3526122.56</v>
      </c>
      <c r="C13" s="231">
        <f>SUM(C10:C12)</f>
        <v>1679371.26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1389037.07</v>
      </c>
      <c r="C18" s="229">
        <f>'DOE25'!G198+'DOE25'!G216+'DOE25'!G234+'DOE25'!G277+'DOE25'!G296+'DOE25'!G315</f>
        <v>590047.07000000007</v>
      </c>
    </row>
    <row r="19" spans="1:3" x14ac:dyDescent="0.2">
      <c r="A19" t="s">
        <v>779</v>
      </c>
      <c r="B19" s="240">
        <f>369810.36+149137.18+279772.82+24088</f>
        <v>822808.36</v>
      </c>
      <c r="C19" s="240">
        <v>393079.05</v>
      </c>
    </row>
    <row r="20" spans="1:3" x14ac:dyDescent="0.2">
      <c r="A20" t="s">
        <v>780</v>
      </c>
      <c r="B20" s="240">
        <f>221869.47+56557.58+164741.33+74413.33+2304</f>
        <v>519885.71</v>
      </c>
      <c r="C20" s="240">
        <v>178056.99</v>
      </c>
    </row>
    <row r="21" spans="1:3" x14ac:dyDescent="0.2">
      <c r="A21" t="s">
        <v>781</v>
      </c>
      <c r="B21" s="240">
        <f>45368+737.5+237.5</f>
        <v>46343</v>
      </c>
      <c r="C21" s="240">
        <v>18911.03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1389037.07</v>
      </c>
      <c r="C22" s="231">
        <f>SUM(C19:C21)</f>
        <v>590047.07000000007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11750.4</v>
      </c>
      <c r="C27" s="234">
        <f>'DOE25'!G199+'DOE25'!G217+'DOE25'!G235+'DOE25'!G278+'DOE25'!G297+'DOE25'!G316</f>
        <v>3252.81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11750.4</v>
      </c>
      <c r="C30" s="240">
        <v>3252.81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11750.4</v>
      </c>
      <c r="C31" s="231">
        <f>SUM(C28:C30)</f>
        <v>3252.81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182657.84</v>
      </c>
      <c r="C36" s="235">
        <f>'DOE25'!G200+'DOE25'!G218+'DOE25'!G236+'DOE25'!G279+'DOE25'!G298+'DOE25'!G317</f>
        <v>26922.41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182657.84</v>
      </c>
      <c r="C39" s="240">
        <v>26922.41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182657.84</v>
      </c>
      <c r="C40" s="231">
        <f>SUM(C37:C39)</f>
        <v>26922.41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Moultonborough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8110455.0199999996</v>
      </c>
      <c r="D5" s="20">
        <f>SUM('DOE25'!L197:L200)+SUM('DOE25'!L215:L218)+SUM('DOE25'!L233:L236)-F5-G5</f>
        <v>8066518.8499999996</v>
      </c>
      <c r="E5" s="243"/>
      <c r="F5" s="255">
        <f>SUM('DOE25'!J197:J200)+SUM('DOE25'!J215:J218)+SUM('DOE25'!J233:J236)</f>
        <v>29646.449999999997</v>
      </c>
      <c r="G5" s="53">
        <f>SUM('DOE25'!K197:K200)+SUM('DOE25'!K215:K218)+SUM('DOE25'!K233:K236)</f>
        <v>14289.720000000001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446470.85</v>
      </c>
      <c r="D6" s="20">
        <f>'DOE25'!L202+'DOE25'!L220+'DOE25'!L238-F6-G6</f>
        <v>446308.55</v>
      </c>
      <c r="E6" s="243"/>
      <c r="F6" s="255">
        <f>'DOE25'!J202+'DOE25'!J220+'DOE25'!J238</f>
        <v>162.30000000000001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863161.09000000008</v>
      </c>
      <c r="D7" s="20">
        <f>'DOE25'!L203+'DOE25'!L221+'DOE25'!L239-F7-G7</f>
        <v>792283.04</v>
      </c>
      <c r="E7" s="243"/>
      <c r="F7" s="255">
        <f>'DOE25'!J203+'DOE25'!J221+'DOE25'!K239</f>
        <v>65412.05</v>
      </c>
      <c r="G7" s="53">
        <f>'DOE25'!K203+'DOE25'!K221+'DOE25'!K239</f>
        <v>5466</v>
      </c>
      <c r="H7" s="259"/>
    </row>
    <row r="8" spans="1:9" x14ac:dyDescent="0.2">
      <c r="A8" s="32">
        <v>2300</v>
      </c>
      <c r="B8" t="s">
        <v>802</v>
      </c>
      <c r="C8" s="245">
        <f t="shared" si="0"/>
        <v>240495.75000000006</v>
      </c>
      <c r="D8" s="243"/>
      <c r="E8" s="20">
        <f>'DOE25'!L204+'DOE25'!L222+'DOE25'!L240-F8-G8-D9-D11</f>
        <v>171703.23000000004</v>
      </c>
      <c r="F8" s="255">
        <f>'DOE25'!J204+'DOE25'!J222+'DOE25'!K240</f>
        <v>17684.099999999999</v>
      </c>
      <c r="G8" s="53">
        <f>'DOE25'!K204+'DOE25'!K222+'DOE25'!K240</f>
        <v>51108.42</v>
      </c>
      <c r="H8" s="259"/>
    </row>
    <row r="9" spans="1:9" x14ac:dyDescent="0.2">
      <c r="A9" s="32">
        <v>2310</v>
      </c>
      <c r="B9" t="s">
        <v>818</v>
      </c>
      <c r="C9" s="245">
        <f t="shared" si="0"/>
        <v>72919.53</v>
      </c>
      <c r="D9" s="244">
        <v>72919.53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8500</v>
      </c>
      <c r="D10" s="243"/>
      <c r="E10" s="244">
        <f>4250+1445+2805</f>
        <v>8500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236208.46000000002</v>
      </c>
      <c r="D11" s="244">
        <v>236208.46000000002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649594.24</v>
      </c>
      <c r="D12" s="20">
        <f>'DOE25'!L205+'DOE25'!L223+'DOE25'!L241-F12-G12</f>
        <v>633872.39999999991</v>
      </c>
      <c r="E12" s="243"/>
      <c r="F12" s="255">
        <f>'DOE25'!J205+'DOE25'!J223+'DOE25'!K241</f>
        <v>7860.92</v>
      </c>
      <c r="G12" s="53">
        <f>'DOE25'!K205+'DOE25'!K223+'DOE25'!K241</f>
        <v>7860.92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1442322.06</v>
      </c>
      <c r="D14" s="20">
        <f>'DOE25'!L207+'DOE25'!L225+'DOE25'!L243-F14-G14</f>
        <v>1419250.1500000001</v>
      </c>
      <c r="E14" s="243"/>
      <c r="F14" s="255">
        <f>'DOE25'!J207+'DOE25'!J225+'DOE25'!J243</f>
        <v>23071.91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454932.52999999997</v>
      </c>
      <c r="D15" s="20">
        <f>'DOE25'!L208+'DOE25'!L226+'DOE25'!L244-F15-G15</f>
        <v>454932.52999999997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976036.26</v>
      </c>
      <c r="D25" s="243"/>
      <c r="E25" s="243"/>
      <c r="F25" s="258"/>
      <c r="G25" s="256"/>
      <c r="H25" s="257">
        <f>'DOE25'!L260+'DOE25'!L261+'DOE25'!L341+'DOE25'!L342</f>
        <v>976036.26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211393</v>
      </c>
      <c r="D29" s="20">
        <f>'DOE25'!L358+'DOE25'!L359+'DOE25'!L360-'DOE25'!I367-F29-G29</f>
        <v>211393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288598.68</v>
      </c>
      <c r="D31" s="20">
        <f>'DOE25'!L290+'DOE25'!L309+'DOE25'!L328+'DOE25'!L333+'DOE25'!L334+'DOE25'!L335-F31-G31</f>
        <v>288598.68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12622285.190000001</v>
      </c>
      <c r="E33" s="246">
        <f>SUM(E5:E31)</f>
        <v>180203.23000000004</v>
      </c>
      <c r="F33" s="246">
        <f>SUM(F5:F31)</f>
        <v>143837.72999999998</v>
      </c>
      <c r="G33" s="246">
        <f>SUM(G5:G31)</f>
        <v>78725.06</v>
      </c>
      <c r="H33" s="246">
        <f>SUM(H5:H31)</f>
        <v>976036.26</v>
      </c>
    </row>
    <row r="35" spans="2:8" ht="12" thickBot="1" x14ac:dyDescent="0.25">
      <c r="B35" s="253" t="s">
        <v>847</v>
      </c>
      <c r="D35" s="254">
        <f>E33</f>
        <v>180203.23000000004</v>
      </c>
      <c r="E35" s="249"/>
    </row>
    <row r="36" spans="2:8" ht="12" thickTop="1" x14ac:dyDescent="0.2">
      <c r="B36" t="s">
        <v>815</v>
      </c>
      <c r="D36" s="20">
        <f>D33</f>
        <v>12622285.190000001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9" activePane="bottomLeft" state="frozen"/>
      <selection activeCell="F46" sqref="F46"/>
      <selection pane="bottomLeft" activeCell="A59" sqref="A5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Moultonborough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1059093.3999999999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1706451.27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15237.42</v>
      </c>
      <c r="E12" s="95">
        <f>'DOE25'!H13</f>
        <v>155977.72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50000</v>
      </c>
      <c r="D13" s="95">
        <f>'DOE25'!G14</f>
        <v>31074.55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1109093.3999999999</v>
      </c>
      <c r="D18" s="41">
        <f>SUM(D8:D17)</f>
        <v>46311.97</v>
      </c>
      <c r="E18" s="41">
        <f>SUM(E8:E17)</f>
        <v>155977.72</v>
      </c>
      <c r="F18" s="41">
        <f>SUM(F8:F17)</f>
        <v>0</v>
      </c>
      <c r="G18" s="41">
        <f>SUM(G8:G17)</f>
        <v>1706451.27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487173.04</v>
      </c>
      <c r="D21" s="95">
        <f>'DOE25'!G22</f>
        <v>43021.39</v>
      </c>
      <c r="E21" s="95">
        <f>'DOE25'!H22</f>
        <v>138414.21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10315.030000000001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17563.509999999998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497488.07</v>
      </c>
      <c r="D31" s="41">
        <f>SUM(D21:D30)</f>
        <v>43021.39</v>
      </c>
      <c r="E31" s="41">
        <f>SUM(E21:E30)</f>
        <v>155977.72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3290.58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90000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140000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40000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1706451.27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278559.90999999997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63045.419999999984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611605.32999999984</v>
      </c>
      <c r="D50" s="41">
        <f>SUM(D34:D49)</f>
        <v>3290.58</v>
      </c>
      <c r="E50" s="41">
        <f>SUM(E34:E49)</f>
        <v>0</v>
      </c>
      <c r="F50" s="41">
        <f>SUM(F34:F49)</f>
        <v>0</v>
      </c>
      <c r="G50" s="41">
        <f>SUM(G34:G49)</f>
        <v>1706451.27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1109093.3999999999</v>
      </c>
      <c r="D51" s="41">
        <f>D50+D31</f>
        <v>46311.97</v>
      </c>
      <c r="E51" s="41">
        <f>E50+E31</f>
        <v>155977.72</v>
      </c>
      <c r="F51" s="41">
        <f>F50+F31</f>
        <v>0</v>
      </c>
      <c r="G51" s="41">
        <f>G50+G31</f>
        <v>1706451.27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6115827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18659.72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1721.56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6466.35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125036.68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2951.06</v>
      </c>
      <c r="D61" s="95">
        <f>SUM('DOE25'!G98:G110)</f>
        <v>0</v>
      </c>
      <c r="E61" s="95">
        <f>SUM('DOE25'!H98:H110)</f>
        <v>18815</v>
      </c>
      <c r="F61" s="95">
        <f>SUM('DOE25'!I98:I110)</f>
        <v>0</v>
      </c>
      <c r="G61" s="95">
        <f>SUM('DOE25'!J98:J110)</f>
        <v>1834636.42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23332.340000000004</v>
      </c>
      <c r="D62" s="130">
        <f>SUM(D57:D61)</f>
        <v>125036.68</v>
      </c>
      <c r="E62" s="130">
        <f>SUM(E57:E61)</f>
        <v>18815</v>
      </c>
      <c r="F62" s="130">
        <f>SUM(F57:F61)</f>
        <v>0</v>
      </c>
      <c r="G62" s="130">
        <f>SUM(G57:G61)</f>
        <v>1841102.77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6139159.3399999999</v>
      </c>
      <c r="D63" s="22">
        <f>D56+D62</f>
        <v>125036.68</v>
      </c>
      <c r="E63" s="22">
        <f>E56+E62</f>
        <v>18815</v>
      </c>
      <c r="F63" s="22">
        <f>F56+F62</f>
        <v>0</v>
      </c>
      <c r="G63" s="22">
        <f>G56+G62</f>
        <v>1841102.77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6806571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6806571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271144.39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149855.01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6822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2969.9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427821.4</v>
      </c>
      <c r="D78" s="130">
        <f>SUM(D72:D77)</f>
        <v>2969.9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7234392.4000000004</v>
      </c>
      <c r="D81" s="130">
        <f>SUM(D79:D80)+D78+D70</f>
        <v>2969.9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172765.48</v>
      </c>
      <c r="D88" s="95">
        <f>SUM('DOE25'!G153:G161)</f>
        <v>83436.539999999994</v>
      </c>
      <c r="E88" s="95">
        <f>SUM('DOE25'!H153:H161)</f>
        <v>269783.68000000005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172765.48</v>
      </c>
      <c r="D91" s="131">
        <f>SUM(D85:D90)</f>
        <v>83436.539999999994</v>
      </c>
      <c r="E91" s="131">
        <f>SUM(E85:E90)</f>
        <v>269783.68000000005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50000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13596317.220000001</v>
      </c>
      <c r="D104" s="86">
        <f>D63+D81+D91+D103</f>
        <v>211443.12</v>
      </c>
      <c r="E104" s="86">
        <f>E63+E81+E91+E103</f>
        <v>288598.68000000005</v>
      </c>
      <c r="F104" s="86">
        <f>F63+F81+F91+F103</f>
        <v>0</v>
      </c>
      <c r="G104" s="86">
        <f>G63+G81+G103</f>
        <v>1916102.77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5275018.34</v>
      </c>
      <c r="D109" s="24" t="s">
        <v>289</v>
      </c>
      <c r="E109" s="95">
        <f>('DOE25'!L276)+('DOE25'!L295)+('DOE25'!L314)</f>
        <v>95453.53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2442512.2699999996</v>
      </c>
      <c r="D110" s="24" t="s">
        <v>289</v>
      </c>
      <c r="E110" s="95">
        <f>('DOE25'!L277)+('DOE25'!L296)+('DOE25'!L315)</f>
        <v>132644.39000000001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68996.97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323927.44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8110455.0199999996</v>
      </c>
      <c r="D115" s="86">
        <f>SUM(D109:D114)</f>
        <v>0</v>
      </c>
      <c r="E115" s="86">
        <f>SUM(E109:E114)</f>
        <v>228097.92000000001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446470.85</v>
      </c>
      <c r="D118" s="24" t="s">
        <v>289</v>
      </c>
      <c r="E118" s="95">
        <f>+('DOE25'!L281)+('DOE25'!L300)+('DOE25'!L319)</f>
        <v>60500.759999999995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863161.09000000008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549623.74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649594.24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1442322.06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454932.52999999997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211393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4406104.51</v>
      </c>
      <c r="D128" s="86">
        <f>SUM(D118:D127)</f>
        <v>211393</v>
      </c>
      <c r="E128" s="86">
        <f>SUM(E118:E127)</f>
        <v>60500.759999999995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842062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133974.26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50000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1916102.77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-1841102.77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1051036.2600000002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50000</v>
      </c>
    </row>
    <row r="145" spans="1:9" ht="12.75" thickTop="1" thickBot="1" x14ac:dyDescent="0.25">
      <c r="A145" s="33" t="s">
        <v>244</v>
      </c>
      <c r="C145" s="86">
        <f>(C115+C128+C144)</f>
        <v>13567595.789999999</v>
      </c>
      <c r="D145" s="86">
        <f>(D115+D128+D144)</f>
        <v>211393</v>
      </c>
      <c r="E145" s="86">
        <f>(E115+E128+E144)</f>
        <v>288598.68</v>
      </c>
      <c r="F145" s="86">
        <f>(F115+F128+F144)</f>
        <v>0</v>
      </c>
      <c r="G145" s="86">
        <f>(G115+G128+G144)</f>
        <v>50000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4/2003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1/2018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11362231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3.98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2937507.21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2937507.21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2734553.12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2734553.12</v>
      </c>
    </row>
    <row r="160" spans="1:9" x14ac:dyDescent="0.2">
      <c r="A160" s="22" t="s">
        <v>36</v>
      </c>
      <c r="B160" s="137">
        <f>'DOE25'!F499</f>
        <v>193555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193555</v>
      </c>
    </row>
    <row r="161" spans="1:7" x14ac:dyDescent="0.2">
      <c r="A161" s="22" t="s">
        <v>37</v>
      </c>
      <c r="B161" s="137">
        <f>'DOE25'!F500</f>
        <v>2928108.12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2928108.12</v>
      </c>
    </row>
    <row r="162" spans="1:7" x14ac:dyDescent="0.2">
      <c r="A162" s="22" t="s">
        <v>38</v>
      </c>
      <c r="B162" s="137">
        <f>'DOE25'!F501</f>
        <v>875909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875909</v>
      </c>
    </row>
    <row r="163" spans="1:7" x14ac:dyDescent="0.2">
      <c r="A163" s="22" t="s">
        <v>39</v>
      </c>
      <c r="B163" s="137">
        <f>'DOE25'!F502</f>
        <v>100127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100127</v>
      </c>
    </row>
    <row r="164" spans="1:7" x14ac:dyDescent="0.2">
      <c r="A164" s="22" t="s">
        <v>246</v>
      </c>
      <c r="B164" s="137">
        <f>'DOE25'!F503</f>
        <v>976036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976036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Moultonborough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22749</v>
      </c>
    </row>
    <row r="5" spans="1:4" x14ac:dyDescent="0.2">
      <c r="B5" t="s">
        <v>704</v>
      </c>
      <c r="C5" s="179">
        <f>IF('DOE25'!G665+'DOE25'!G670=0,0,ROUND('DOE25'!G672,0))</f>
        <v>24527</v>
      </c>
    </row>
    <row r="6" spans="1:4" x14ac:dyDescent="0.2">
      <c r="B6" t="s">
        <v>62</v>
      </c>
      <c r="C6" s="179">
        <f>IF('DOE25'!H665+'DOE25'!H670=0,0,ROUND('DOE25'!H672,0))</f>
        <v>24623</v>
      </c>
    </row>
    <row r="7" spans="1:4" x14ac:dyDescent="0.2">
      <c r="B7" t="s">
        <v>705</v>
      </c>
      <c r="C7" s="179">
        <f>IF('DOE25'!I665+'DOE25'!I670=0,0,ROUND('DOE25'!I672,0))</f>
        <v>23724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5370472</v>
      </c>
      <c r="D10" s="182">
        <f>ROUND((C10/$C$28)*100,1)</f>
        <v>41.2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2575157</v>
      </c>
      <c r="D11" s="182">
        <f>ROUND((C11/$C$28)*100,1)</f>
        <v>19.8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68997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323927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506972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863161</v>
      </c>
      <c r="D16" s="182">
        <f t="shared" si="0"/>
        <v>6.6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549624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649594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1442322</v>
      </c>
      <c r="D20" s="182">
        <f t="shared" si="0"/>
        <v>11.1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454933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133974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86356.32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13025489.32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13025489.32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842062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6115827</v>
      </c>
      <c r="D35" s="182">
        <f t="shared" ref="D35:D40" si="1">ROUND((C35/$C$41)*100,1)</f>
        <v>38.799999999999997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1883250.1099999994</v>
      </c>
      <c r="D36" s="182">
        <f t="shared" si="1"/>
        <v>11.9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6806571</v>
      </c>
      <c r="D37" s="182">
        <f t="shared" si="1"/>
        <v>43.2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430791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525986</v>
      </c>
      <c r="D39" s="182">
        <f t="shared" si="1"/>
        <v>3.3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15762425.109999999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Moultonborough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2015-10-08T17:41:05Z</cp:lastPrinted>
  <dcterms:created xsi:type="dcterms:W3CDTF">1997-12-04T19:04:30Z</dcterms:created>
  <dcterms:modified xsi:type="dcterms:W3CDTF">2015-12-18T19:17:37Z</dcterms:modified>
</cp:coreProperties>
</file>