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665" i="1" l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E16" i="13"/>
  <c r="C16" i="13" s="1"/>
  <c r="F5" i="13"/>
  <c r="G5" i="13"/>
  <c r="L197" i="1"/>
  <c r="L198" i="1"/>
  <c r="L199" i="1"/>
  <c r="L200" i="1"/>
  <c r="L215" i="1"/>
  <c r="L229" i="1" s="1"/>
  <c r="L216" i="1"/>
  <c r="L217" i="1"/>
  <c r="L218" i="1"/>
  <c r="L233" i="1"/>
  <c r="L247" i="1" s="1"/>
  <c r="L234" i="1"/>
  <c r="L235" i="1"/>
  <c r="L236" i="1"/>
  <c r="F6" i="13"/>
  <c r="G6" i="13"/>
  <c r="L202" i="1"/>
  <c r="L220" i="1"/>
  <c r="L238" i="1"/>
  <c r="D6" i="13" s="1"/>
  <c r="C6" i="13" s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F661" i="1"/>
  <c r="L360" i="1"/>
  <c r="I367" i="1"/>
  <c r="J290" i="1"/>
  <c r="J309" i="1"/>
  <c r="J328" i="1"/>
  <c r="K290" i="1"/>
  <c r="K309" i="1"/>
  <c r="K328" i="1"/>
  <c r="K338" i="1" s="1"/>
  <c r="K352" i="1" s="1"/>
  <c r="L276" i="1"/>
  <c r="L277" i="1"/>
  <c r="L278" i="1"/>
  <c r="L279" i="1"/>
  <c r="L281" i="1"/>
  <c r="L282" i="1"/>
  <c r="L283" i="1"/>
  <c r="L284" i="1"/>
  <c r="E121" i="2" s="1"/>
  <c r="L285" i="1"/>
  <c r="L286" i="1"/>
  <c r="L287" i="1"/>
  <c r="F662" i="1" s="1"/>
  <c r="L288" i="1"/>
  <c r="E125" i="2" s="1"/>
  <c r="L295" i="1"/>
  <c r="L296" i="1"/>
  <c r="C11" i="10" s="1"/>
  <c r="L297" i="1"/>
  <c r="L298" i="1"/>
  <c r="L300" i="1"/>
  <c r="L301" i="1"/>
  <c r="E119" i="2" s="1"/>
  <c r="L302" i="1"/>
  <c r="L303" i="1"/>
  <c r="L304" i="1"/>
  <c r="L305" i="1"/>
  <c r="E123" i="2" s="1"/>
  <c r="L306" i="1"/>
  <c r="L307" i="1"/>
  <c r="L314" i="1"/>
  <c r="L315" i="1"/>
  <c r="L316" i="1"/>
  <c r="C12" i="10"/>
  <c r="L317" i="1"/>
  <c r="L319" i="1"/>
  <c r="E118" i="2" s="1"/>
  <c r="L320" i="1"/>
  <c r="L321" i="1"/>
  <c r="L322" i="1"/>
  <c r="L323" i="1"/>
  <c r="E122" i="2" s="1"/>
  <c r="L324" i="1"/>
  <c r="L325" i="1"/>
  <c r="L326" i="1"/>
  <c r="C17" i="10" s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87" i="1"/>
  <c r="L388" i="1"/>
  <c r="L389" i="1"/>
  <c r="L390" i="1"/>
  <c r="L393" i="1" s="1"/>
  <c r="C138" i="2" s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2" i="2" s="1"/>
  <c r="G61" i="2"/>
  <c r="F2" i="11"/>
  <c r="L613" i="1"/>
  <c r="H663" i="1" s="1"/>
  <c r="L612" i="1"/>
  <c r="G663" i="1"/>
  <c r="L611" i="1"/>
  <c r="F663" i="1" s="1"/>
  <c r="I663" i="1" s="1"/>
  <c r="C40" i="10"/>
  <c r="F60" i="1"/>
  <c r="G60" i="1"/>
  <c r="D56" i="2" s="1"/>
  <c r="H60" i="1"/>
  <c r="I60" i="1"/>
  <c r="F79" i="1"/>
  <c r="F94" i="1"/>
  <c r="C58" i="2" s="1"/>
  <c r="F111" i="1"/>
  <c r="G111" i="1"/>
  <c r="G112" i="1"/>
  <c r="H79" i="1"/>
  <c r="H94" i="1"/>
  <c r="H111" i="1"/>
  <c r="H112" i="1" s="1"/>
  <c r="I111" i="1"/>
  <c r="I112" i="1" s="1"/>
  <c r="J111" i="1"/>
  <c r="J112" i="1"/>
  <c r="J193" i="1" s="1"/>
  <c r="F121" i="1"/>
  <c r="F136" i="1"/>
  <c r="G121" i="1"/>
  <c r="G136" i="1"/>
  <c r="H121" i="1"/>
  <c r="H140" i="1" s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H193" i="1" s="1"/>
  <c r="I147" i="1"/>
  <c r="I162" i="1"/>
  <c r="C19" i="10"/>
  <c r="L250" i="1"/>
  <c r="C113" i="2" s="1"/>
  <c r="L332" i="1"/>
  <c r="L254" i="1"/>
  <c r="C25" i="10"/>
  <c r="L268" i="1"/>
  <c r="C142" i="2" s="1"/>
  <c r="L269" i="1"/>
  <c r="L349" i="1"/>
  <c r="L350" i="1"/>
  <c r="E143" i="2" s="1"/>
  <c r="I670" i="1"/>
  <c r="I669" i="1"/>
  <c r="C42" i="10"/>
  <c r="C32" i="10"/>
  <c r="L374" i="1"/>
  <c r="L375" i="1"/>
  <c r="L376" i="1"/>
  <c r="L377" i="1"/>
  <c r="L382" i="1" s="1"/>
  <c r="L378" i="1"/>
  <c r="L379" i="1"/>
  <c r="L380" i="1"/>
  <c r="B2" i="10"/>
  <c r="L344" i="1"/>
  <c r="L345" i="1"/>
  <c r="L346" i="1"/>
  <c r="E137" i="2" s="1"/>
  <c r="L347" i="1"/>
  <c r="K351" i="1"/>
  <c r="L521" i="1"/>
  <c r="F549" i="1"/>
  <c r="L522" i="1"/>
  <c r="F550" i="1" s="1"/>
  <c r="K550" i="1" s="1"/>
  <c r="L523" i="1"/>
  <c r="F551" i="1"/>
  <c r="L526" i="1"/>
  <c r="L527" i="1"/>
  <c r="G550" i="1"/>
  <c r="L528" i="1"/>
  <c r="G551" i="1" s="1"/>
  <c r="L531" i="1"/>
  <c r="H549" i="1"/>
  <c r="L532" i="1"/>
  <c r="H550" i="1" s="1"/>
  <c r="L533" i="1"/>
  <c r="H551" i="1"/>
  <c r="H552" i="1"/>
  <c r="L536" i="1"/>
  <c r="I549" i="1"/>
  <c r="L537" i="1"/>
  <c r="L539" i="1" s="1"/>
  <c r="I550" i="1"/>
  <c r="I552" i="1" s="1"/>
  <c r="L538" i="1"/>
  <c r="I551" i="1"/>
  <c r="L541" i="1"/>
  <c r="J549" i="1"/>
  <c r="L542" i="1"/>
  <c r="J550" i="1"/>
  <c r="L543" i="1"/>
  <c r="J551" i="1"/>
  <c r="E131" i="2"/>
  <c r="K270" i="1"/>
  <c r="J270" i="1"/>
  <c r="I270" i="1"/>
  <c r="H270" i="1"/>
  <c r="G270" i="1"/>
  <c r="L270" i="1" s="1"/>
  <c r="F270" i="1"/>
  <c r="C132" i="2"/>
  <c r="A1" i="2"/>
  <c r="A2" i="2"/>
  <c r="C8" i="2"/>
  <c r="D8" i="2"/>
  <c r="E8" i="2"/>
  <c r="E18" i="2" s="1"/>
  <c r="F8" i="2"/>
  <c r="I439" i="1"/>
  <c r="J9" i="1" s="1"/>
  <c r="G8" i="2" s="1"/>
  <c r="C9" i="2"/>
  <c r="D9" i="2"/>
  <c r="E9" i="2"/>
  <c r="F9" i="2"/>
  <c r="I440" i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/>
  <c r="G12" i="2" s="1"/>
  <c r="C13" i="2"/>
  <c r="D13" i="2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/>
  <c r="G16" i="2" s="1"/>
  <c r="C17" i="2"/>
  <c r="D17" i="2"/>
  <c r="E17" i="2"/>
  <c r="F17" i="2"/>
  <c r="I445" i="1"/>
  <c r="J18" i="1" s="1"/>
  <c r="G17" i="2" s="1"/>
  <c r="C21" i="2"/>
  <c r="C31" i="2" s="1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G22" i="2" s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E50" i="2" s="1"/>
  <c r="E51" i="2" s="1"/>
  <c r="F34" i="2"/>
  <c r="C35" i="2"/>
  <c r="D35" i="2"/>
  <c r="E35" i="2"/>
  <c r="F35" i="2"/>
  <c r="I454" i="1"/>
  <c r="J49" i="1" s="1"/>
  <c r="G48" i="2" s="1"/>
  <c r="I456" i="1"/>
  <c r="I457" i="1"/>
  <c r="J37" i="1"/>
  <c r="I459" i="1"/>
  <c r="J48" i="1" s="1"/>
  <c r="G47" i="2" s="1"/>
  <c r="C49" i="2"/>
  <c r="C50" i="2" s="1"/>
  <c r="C51" i="2" s="1"/>
  <c r="E56" i="2"/>
  <c r="F56" i="2"/>
  <c r="C57" i="2"/>
  <c r="E57" i="2"/>
  <c r="E58" i="2"/>
  <c r="C59" i="2"/>
  <c r="D59" i="2"/>
  <c r="D62" i="2" s="1"/>
  <c r="E59" i="2"/>
  <c r="F59" i="2"/>
  <c r="D60" i="2"/>
  <c r="C61" i="2"/>
  <c r="D61" i="2"/>
  <c r="E61" i="2"/>
  <c r="F61" i="2"/>
  <c r="F62" i="2" s="1"/>
  <c r="C66" i="2"/>
  <c r="C70" i="2" s="1"/>
  <c r="C67" i="2"/>
  <c r="C69" i="2"/>
  <c r="D69" i="2"/>
  <c r="D70" i="2" s="1"/>
  <c r="E69" i="2"/>
  <c r="E70" i="2"/>
  <c r="F69" i="2"/>
  <c r="F70" i="2" s="1"/>
  <c r="G69" i="2"/>
  <c r="G70" i="2"/>
  <c r="C72" i="2"/>
  <c r="F72" i="2"/>
  <c r="C73" i="2"/>
  <c r="F73" i="2"/>
  <c r="F78" i="2" s="1"/>
  <c r="F81" i="2" s="1"/>
  <c r="C74" i="2"/>
  <c r="C75" i="2"/>
  <c r="C76" i="2"/>
  <c r="E76" i="2"/>
  <c r="E78" i="2" s="1"/>
  <c r="E81" i="2" s="1"/>
  <c r="F76" i="2"/>
  <c r="C77" i="2"/>
  <c r="D77" i="2"/>
  <c r="D78" i="2"/>
  <c r="D81" i="2" s="1"/>
  <c r="E77" i="2"/>
  <c r="F77" i="2"/>
  <c r="G77" i="2"/>
  <c r="G78" i="2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F103" i="2" s="1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2" i="2"/>
  <c r="E113" i="2"/>
  <c r="E114" i="2"/>
  <c r="D115" i="2"/>
  <c r="F115" i="2"/>
  <c r="G115" i="2"/>
  <c r="E120" i="2"/>
  <c r="F128" i="2"/>
  <c r="G128" i="2"/>
  <c r="C130" i="2"/>
  <c r="E130" i="2"/>
  <c r="D134" i="2"/>
  <c r="D144" i="2"/>
  <c r="E134" i="2"/>
  <c r="F134" i="2"/>
  <c r="K419" i="1"/>
  <c r="K427" i="1"/>
  <c r="K434" i="1" s="1"/>
  <c r="K433" i="1"/>
  <c r="L263" i="1"/>
  <c r="C135" i="2"/>
  <c r="E135" i="2"/>
  <c r="L264" i="1"/>
  <c r="C136" i="2"/>
  <c r="L265" i="1"/>
  <c r="C137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G158" i="2" s="1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G500" i="1"/>
  <c r="C161" i="2"/>
  <c r="H500" i="1"/>
  <c r="D161" i="2" s="1"/>
  <c r="I500" i="1"/>
  <c r="E161" i="2"/>
  <c r="J500" i="1"/>
  <c r="F161" i="2" s="1"/>
  <c r="B162" i="2"/>
  <c r="C162" i="2"/>
  <c r="D162" i="2"/>
  <c r="E162" i="2"/>
  <c r="F162" i="2"/>
  <c r="B163" i="2"/>
  <c r="C163" i="2"/>
  <c r="G163" i="2" s="1"/>
  <c r="D163" i="2"/>
  <c r="E163" i="2"/>
  <c r="F163" i="2"/>
  <c r="F503" i="1"/>
  <c r="G503" i="1"/>
  <c r="C164" i="2"/>
  <c r="H503" i="1"/>
  <c r="D164" i="2" s="1"/>
  <c r="I503" i="1"/>
  <c r="E164" i="2"/>
  <c r="J503" i="1"/>
  <c r="F164" i="2" s="1"/>
  <c r="F19" i="1"/>
  <c r="G19" i="1"/>
  <c r="G618" i="1" s="1"/>
  <c r="H19" i="1"/>
  <c r="I19" i="1"/>
  <c r="F32" i="1"/>
  <c r="F52" i="1" s="1"/>
  <c r="H617" i="1" s="1"/>
  <c r="J617" i="1" s="1"/>
  <c r="G32" i="1"/>
  <c r="G52" i="1"/>
  <c r="H618" i="1"/>
  <c r="H32" i="1"/>
  <c r="I32" i="1"/>
  <c r="H51" i="1"/>
  <c r="G624" i="1"/>
  <c r="I51" i="1"/>
  <c r="G625" i="1"/>
  <c r="F177" i="1"/>
  <c r="I177" i="1"/>
  <c r="F183" i="1"/>
  <c r="G183" i="1"/>
  <c r="H183" i="1"/>
  <c r="H192" i="1" s="1"/>
  <c r="I183" i="1"/>
  <c r="J183" i="1"/>
  <c r="J192" i="1"/>
  <c r="F188" i="1"/>
  <c r="F192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/>
  <c r="J362" i="1"/>
  <c r="K362" i="1"/>
  <c r="I368" i="1"/>
  <c r="F369" i="1"/>
  <c r="G369" i="1"/>
  <c r="H369" i="1"/>
  <c r="I369" i="1"/>
  <c r="L381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H408" i="1"/>
  <c r="H644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J434" i="1" s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I434" i="1" s="1"/>
  <c r="J433" i="1"/>
  <c r="F446" i="1"/>
  <c r="G446" i="1"/>
  <c r="H446" i="1"/>
  <c r="G641" i="1" s="1"/>
  <c r="F452" i="1"/>
  <c r="G452" i="1"/>
  <c r="H452" i="1"/>
  <c r="I452" i="1"/>
  <c r="F460" i="1"/>
  <c r="G460" i="1"/>
  <c r="H460" i="1"/>
  <c r="F461" i="1"/>
  <c r="H639" i="1" s="1"/>
  <c r="G461" i="1"/>
  <c r="H640" i="1" s="1"/>
  <c r="H461" i="1"/>
  <c r="H641" i="1" s="1"/>
  <c r="F470" i="1"/>
  <c r="G470" i="1"/>
  <c r="H470" i="1"/>
  <c r="H476" i="1" s="1"/>
  <c r="H624" i="1" s="1"/>
  <c r="I470" i="1"/>
  <c r="J470" i="1"/>
  <c r="F474" i="1"/>
  <c r="G474" i="1"/>
  <c r="G476" i="1" s="1"/>
  <c r="H623" i="1" s="1"/>
  <c r="J623" i="1" s="1"/>
  <c r="H474" i="1"/>
  <c r="I474" i="1"/>
  <c r="I476" i="1"/>
  <c r="H625" i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I571" i="1" s="1"/>
  <c r="J560" i="1"/>
  <c r="K560" i="1"/>
  <c r="L562" i="1"/>
  <c r="L563" i="1"/>
  <c r="L565" i="1" s="1"/>
  <c r="L564" i="1"/>
  <c r="F565" i="1"/>
  <c r="G565" i="1"/>
  <c r="H565" i="1"/>
  <c r="I565" i="1"/>
  <c r="J565" i="1"/>
  <c r="J571" i="1" s="1"/>
  <c r="K565" i="1"/>
  <c r="L567" i="1"/>
  <c r="L570" i="1" s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8" i="1" s="1"/>
  <c r="G647" i="1" s="1"/>
  <c r="J647" i="1" s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9" i="1"/>
  <c r="G620" i="1"/>
  <c r="J620" i="1" s="1"/>
  <c r="G622" i="1"/>
  <c r="G623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J639" i="1" s="1"/>
  <c r="G640" i="1"/>
  <c r="J640" i="1" s="1"/>
  <c r="G643" i="1"/>
  <c r="H643" i="1"/>
  <c r="G644" i="1"/>
  <c r="G649" i="1"/>
  <c r="G650" i="1"/>
  <c r="J650" i="1" s="1"/>
  <c r="G651" i="1"/>
  <c r="G652" i="1"/>
  <c r="H652" i="1"/>
  <c r="G653" i="1"/>
  <c r="J653" i="1" s="1"/>
  <c r="H653" i="1"/>
  <c r="G654" i="1"/>
  <c r="H654" i="1"/>
  <c r="H655" i="1"/>
  <c r="J655" i="1" s="1"/>
  <c r="C18" i="2"/>
  <c r="A31" i="12"/>
  <c r="D12" i="13"/>
  <c r="C12" i="13" s="1"/>
  <c r="D63" i="2"/>
  <c r="D7" i="13"/>
  <c r="C7" i="13" s="1"/>
  <c r="D17" i="13"/>
  <c r="C17" i="13" s="1"/>
  <c r="E8" i="13"/>
  <c r="C8" i="13" s="1"/>
  <c r="C91" i="2"/>
  <c r="D31" i="2"/>
  <c r="D51" i="2" s="1"/>
  <c r="D50" i="2"/>
  <c r="F18" i="2"/>
  <c r="D91" i="2"/>
  <c r="D19" i="13"/>
  <c r="C19" i="13" s="1"/>
  <c r="D14" i="13"/>
  <c r="C14" i="13"/>
  <c r="L427" i="1"/>
  <c r="L419" i="1"/>
  <c r="L434" i="1" s="1"/>
  <c r="G638" i="1" s="1"/>
  <c r="J638" i="1" s="1"/>
  <c r="I169" i="1"/>
  <c r="J643" i="1"/>
  <c r="J476" i="1"/>
  <c r="H626" i="1" s="1"/>
  <c r="F169" i="1"/>
  <c r="C39" i="10" s="1"/>
  <c r="J140" i="1"/>
  <c r="J552" i="1"/>
  <c r="F22" i="13"/>
  <c r="L560" i="1"/>
  <c r="G192" i="1"/>
  <c r="C35" i="10"/>
  <c r="G36" i="2"/>
  <c r="C22" i="13"/>
  <c r="G645" i="1"/>
  <c r="J644" i="1"/>
  <c r="J649" i="1"/>
  <c r="L534" i="1"/>
  <c r="H545" i="1"/>
  <c r="J545" i="1"/>
  <c r="L524" i="1"/>
  <c r="F476" i="1"/>
  <c r="H622" i="1"/>
  <c r="J641" i="1"/>
  <c r="J634" i="1"/>
  <c r="D29" i="13"/>
  <c r="C29" i="13" s="1"/>
  <c r="D127" i="2"/>
  <c r="D128" i="2"/>
  <c r="G661" i="1"/>
  <c r="H661" i="1"/>
  <c r="L362" i="1"/>
  <c r="E124" i="2"/>
  <c r="H662" i="1"/>
  <c r="E111" i="2"/>
  <c r="H338" i="1"/>
  <c r="H352" i="1" s="1"/>
  <c r="G338" i="1"/>
  <c r="G352" i="1" s="1"/>
  <c r="E110" i="2"/>
  <c r="H647" i="1"/>
  <c r="C125" i="2"/>
  <c r="C21" i="10"/>
  <c r="C15" i="10"/>
  <c r="C124" i="2"/>
  <c r="C121" i="2"/>
  <c r="C120" i="2"/>
  <c r="K257" i="1"/>
  <c r="K271" i="1" s="1"/>
  <c r="C111" i="2"/>
  <c r="C110" i="2"/>
  <c r="C123" i="2"/>
  <c r="C78" i="2"/>
  <c r="C81" i="2" s="1"/>
  <c r="E62" i="2"/>
  <c r="E63" i="2" s="1"/>
  <c r="H52" i="1"/>
  <c r="H619" i="1"/>
  <c r="J619" i="1" s="1"/>
  <c r="I52" i="1"/>
  <c r="H620" i="1" s="1"/>
  <c r="C23" i="10"/>
  <c r="G159" i="2"/>
  <c r="G103" i="2"/>
  <c r="C103" i="2"/>
  <c r="G31" i="13"/>
  <c r="G33" i="13" s="1"/>
  <c r="L407" i="1"/>
  <c r="C140" i="2" s="1"/>
  <c r="I192" i="1"/>
  <c r="J654" i="1"/>
  <c r="F434" i="1"/>
  <c r="G134" i="2"/>
  <c r="G144" i="2" s="1"/>
  <c r="G145" i="2" s="1"/>
  <c r="G646" i="1"/>
  <c r="G629" i="1"/>
  <c r="J629" i="1" s="1"/>
  <c r="G169" i="1"/>
  <c r="G140" i="1"/>
  <c r="F140" i="1"/>
  <c r="G63" i="2"/>
  <c r="G104" i="2" s="1"/>
  <c r="H434" i="1"/>
  <c r="D103" i="2"/>
  <c r="I140" i="1"/>
  <c r="J652" i="1"/>
  <c r="G571" i="1"/>
  <c r="G434" i="1"/>
  <c r="I661" i="1"/>
  <c r="I193" i="1"/>
  <c r="G630" i="1" s="1"/>
  <c r="J630" i="1" s="1"/>
  <c r="G631" i="1"/>
  <c r="J631" i="1" s="1"/>
  <c r="G193" i="1"/>
  <c r="G628" i="1" s="1"/>
  <c r="J628" i="1" s="1"/>
  <c r="C38" i="10"/>
  <c r="E104" i="2" l="1"/>
  <c r="L571" i="1"/>
  <c r="B164" i="2"/>
  <c r="G164" i="2" s="1"/>
  <c r="K503" i="1"/>
  <c r="C27" i="10"/>
  <c r="G635" i="1"/>
  <c r="J635" i="1" s="1"/>
  <c r="J43" i="1"/>
  <c r="I460" i="1"/>
  <c r="C36" i="10"/>
  <c r="J636" i="1"/>
  <c r="D145" i="2"/>
  <c r="E91" i="2"/>
  <c r="D104" i="2"/>
  <c r="G21" i="2"/>
  <c r="G31" i="2" s="1"/>
  <c r="J32" i="1"/>
  <c r="J618" i="1"/>
  <c r="K571" i="1"/>
  <c r="F545" i="1"/>
  <c r="L337" i="1"/>
  <c r="F338" i="1"/>
  <c r="F352" i="1" s="1"/>
  <c r="H257" i="1"/>
  <c r="H271" i="1" s="1"/>
  <c r="J257" i="1"/>
  <c r="F257" i="1"/>
  <c r="F271" i="1" s="1"/>
  <c r="J624" i="1"/>
  <c r="C62" i="2"/>
  <c r="E128" i="2"/>
  <c r="H660" i="1"/>
  <c r="H664" i="1" s="1"/>
  <c r="L328" i="1"/>
  <c r="C109" i="2"/>
  <c r="C115" i="2" s="1"/>
  <c r="D5" i="13"/>
  <c r="C10" i="10"/>
  <c r="C24" i="10"/>
  <c r="C18" i="10"/>
  <c r="C16" i="10"/>
  <c r="L309" i="1"/>
  <c r="G660" i="1" s="1"/>
  <c r="G664" i="1" s="1"/>
  <c r="C29" i="10"/>
  <c r="J651" i="1"/>
  <c r="I338" i="1"/>
  <c r="I352" i="1" s="1"/>
  <c r="L256" i="1"/>
  <c r="G257" i="1"/>
  <c r="G271" i="1" s="1"/>
  <c r="I257" i="1"/>
  <c r="I271" i="1" s="1"/>
  <c r="G162" i="2"/>
  <c r="B161" i="2"/>
  <c r="G161" i="2" s="1"/>
  <c r="K500" i="1"/>
  <c r="G157" i="2"/>
  <c r="F63" i="2"/>
  <c r="F104" i="2" s="1"/>
  <c r="F31" i="2"/>
  <c r="L544" i="1"/>
  <c r="G549" i="1"/>
  <c r="G552" i="1" s="1"/>
  <c r="L529" i="1"/>
  <c r="L545" i="1" s="1"/>
  <c r="F552" i="1"/>
  <c r="F130" i="2"/>
  <c r="F144" i="2" s="1"/>
  <c r="F145" i="2" s="1"/>
  <c r="C131" i="2"/>
  <c r="H25" i="13"/>
  <c r="C114" i="2"/>
  <c r="G662" i="1"/>
  <c r="I662" i="1" s="1"/>
  <c r="D15" i="13"/>
  <c r="C15" i="13" s="1"/>
  <c r="C20" i="10"/>
  <c r="I461" i="1"/>
  <c r="H642" i="1" s="1"/>
  <c r="G160" i="2"/>
  <c r="G156" i="2"/>
  <c r="D18" i="2"/>
  <c r="J10" i="1"/>
  <c r="I446" i="1"/>
  <c r="G642" i="1" s="1"/>
  <c r="J642" i="1" s="1"/>
  <c r="K551" i="1"/>
  <c r="F112" i="1"/>
  <c r="F193" i="1" s="1"/>
  <c r="G627" i="1" s="1"/>
  <c r="J627" i="1" s="1"/>
  <c r="E132" i="2"/>
  <c r="E144" i="2" s="1"/>
  <c r="L351" i="1"/>
  <c r="E112" i="2"/>
  <c r="E115" i="2" s="1"/>
  <c r="E145" i="2" s="1"/>
  <c r="L290" i="1"/>
  <c r="C13" i="10"/>
  <c r="J338" i="1"/>
  <c r="J352" i="1" s="1"/>
  <c r="C118" i="2"/>
  <c r="C128" i="2" s="1"/>
  <c r="E13" i="13"/>
  <c r="C13" i="13" s="1"/>
  <c r="C122" i="2"/>
  <c r="F31" i="13"/>
  <c r="F33" i="13" s="1"/>
  <c r="L211" i="1"/>
  <c r="L614" i="1"/>
  <c r="C26" i="10"/>
  <c r="J622" i="1"/>
  <c r="K605" i="1"/>
  <c r="G648" i="1" s="1"/>
  <c r="F91" i="2"/>
  <c r="C56" i="2"/>
  <c r="C63" i="2" s="1"/>
  <c r="C104" i="2" s="1"/>
  <c r="F50" i="2"/>
  <c r="F51" i="2" s="1"/>
  <c r="L401" i="1"/>
  <c r="C139" i="2" s="1"/>
  <c r="C141" i="2" s="1"/>
  <c r="G672" i="1" l="1"/>
  <c r="C5" i="10" s="1"/>
  <c r="G667" i="1"/>
  <c r="J648" i="1"/>
  <c r="H672" i="1"/>
  <c r="C6" i="10" s="1"/>
  <c r="H667" i="1"/>
  <c r="L408" i="1"/>
  <c r="D26" i="10"/>
  <c r="L338" i="1"/>
  <c r="L352" i="1" s="1"/>
  <c r="G633" i="1" s="1"/>
  <c r="J633" i="1" s="1"/>
  <c r="D31" i="13"/>
  <c r="C31" i="13" s="1"/>
  <c r="H33" i="13"/>
  <c r="C25" i="13"/>
  <c r="K549" i="1"/>
  <c r="K552" i="1" s="1"/>
  <c r="C28" i="10"/>
  <c r="D10" i="10"/>
  <c r="E33" i="13"/>
  <c r="D35" i="13" s="1"/>
  <c r="F660" i="1"/>
  <c r="L257" i="1"/>
  <c r="L271" i="1" s="1"/>
  <c r="G632" i="1" s="1"/>
  <c r="J632" i="1" s="1"/>
  <c r="C144" i="2"/>
  <c r="C145" i="2" s="1"/>
  <c r="C5" i="13"/>
  <c r="D33" i="13"/>
  <c r="D36" i="13" s="1"/>
  <c r="G42" i="2"/>
  <c r="G50" i="2" s="1"/>
  <c r="G51" i="2" s="1"/>
  <c r="J51" i="1"/>
  <c r="D36" i="10"/>
  <c r="D13" i="10"/>
  <c r="G9" i="2"/>
  <c r="G18" i="2" s="1"/>
  <c r="J19" i="1"/>
  <c r="G621" i="1" s="1"/>
  <c r="D24" i="10"/>
  <c r="H648" i="1"/>
  <c r="J271" i="1"/>
  <c r="C41" i="10"/>
  <c r="D27" i="10"/>
  <c r="J52" i="1" l="1"/>
  <c r="H621" i="1" s="1"/>
  <c r="G626" i="1"/>
  <c r="J626" i="1" s="1"/>
  <c r="C30" i="10"/>
  <c r="D22" i="10"/>
  <c r="D12" i="10"/>
  <c r="D25" i="10"/>
  <c r="D19" i="10"/>
  <c r="D17" i="10"/>
  <c r="D21" i="10"/>
  <c r="D11" i="10"/>
  <c r="D28" i="10" s="1"/>
  <c r="D15" i="10"/>
  <c r="D23" i="10"/>
  <c r="D20" i="10"/>
  <c r="D18" i="10"/>
  <c r="D16" i="10"/>
  <c r="I660" i="1"/>
  <c r="I664" i="1" s="1"/>
  <c r="F664" i="1"/>
  <c r="H646" i="1"/>
  <c r="J646" i="1" s="1"/>
  <c r="G637" i="1"/>
  <c r="J637" i="1" s="1"/>
  <c r="D37" i="10"/>
  <c r="D40" i="10"/>
  <c r="D38" i="10"/>
  <c r="D35" i="10"/>
  <c r="D39" i="10"/>
  <c r="J621" i="1"/>
  <c r="H656" i="1"/>
  <c r="D41" i="10" l="1"/>
  <c r="F672" i="1"/>
  <c r="C4" i="10" s="1"/>
  <c r="F667" i="1"/>
  <c r="I672" i="1"/>
  <c r="C7" i="10" s="1"/>
  <c r="I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<sst xmlns="http://schemas.openxmlformats.org/spreadsheetml/2006/main" count="3957" uniqueCount="914">
  <si>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</si>
  <si>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</si>
  <si>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</si>
  <si>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</si>
  <si>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</si>
  <si>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</si>
  <si>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</si>
  <si>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</si>
  <si>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</si>
  <si>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</si>
  <si>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</si>
  <si>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</si>
  <si>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</si>
  <si>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</si>
  <si>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</si>
  <si>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</si>
  <si>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</si>
  <si>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</si>
  <si>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</si>
  <si>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</si>
  <si>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</si>
  <si>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</si>
  <si>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</si>
  <si>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</si>
  <si>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</si>
  <si>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</si>
  <si>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</si>
  <si>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</si>
  <si>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</si>
  <si>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</si>
  <si>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</si>
  <si>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</si>
  <si>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</si>
  <si>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</si>
  <si>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</si>
  <si>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</si>
  <si>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</si>
  <si>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</si>
  <si>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</si>
  <si>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</si>
  <si>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</si>
  <si>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</si>
  <si>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</si>
  <si>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</si>
  <si>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</si>
  <si>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</si>
  <si>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</si>
  <si>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</si>
  <si>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</si>
  <si>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</si>
  <si>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</si>
  <si>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</si>
  <si>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</si>
  <si>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</si>
  <si>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</si>
  <si>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</si>
  <si>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</si>
  <si>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</si>
  <si>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</si>
  <si>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</si>
  <si>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</si>
  <si>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</si>
  <si>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</si>
  <si>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</si>
  <si>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</si>
  <si>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</si>
  <si>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</si>
  <si>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</si>
  <si>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</si>
  <si>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</si>
  <si>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</si>
  <si>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</si>
  <si>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</si>
  <si>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</si>
  <si>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</si>
  <si>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</si>
  <si>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</si>
  <si>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</si>
  <si>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</si>
  <si>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</si>
  <si>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</si>
  <si>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</si>
  <si>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</si>
  <si>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</si>
  <si>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</si>
  <si>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</si>
  <si>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</si>
  <si>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</si>
  <si>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</si>
  <si>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</si>
  <si>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</si>
  <si>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</si>
  <si>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</si>
  <si>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</si>
  <si>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</si>
  <si>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</si>
  <si>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</si>
  <si>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</si>
  <si>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</si>
  <si>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</si>
  <si>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</si>
  <si>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</si>
  <si>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</si>
  <si>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</si>
  <si>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</si>
  <si>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</si>
  <si>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</si>
  <si>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</si>
  <si>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</si>
  <si>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</si>
  <si>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</si>
  <si>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</si>
  <si>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</si>
  <si>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</si>
  <si>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</si>
  <si>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</si>
  <si>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</si>
  <si>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</si>
  <si>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</si>
  <si>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</si>
  <si>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</si>
  <si>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</si>
  <si>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</si>
  <si>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</si>
  <si>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</si>
  <si>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</si>
  <si>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</si>
  <si>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</si>
  <si>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</si>
  <si>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</si>
  <si>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</si>
  <si>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</si>
  <si>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</si>
  <si>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</si>
  <si>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</si>
  <si>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</si>
  <si>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</si>
  <si>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</si>
  <si>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</si>
  <si>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</si>
  <si>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</si>
  <si>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</si>
  <si>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</si>
  <si>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</si>
  <si>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</si>
  <si>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</si>
  <si>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</si>
  <si>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</si>
  <si>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</si>
  <si>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</si>
  <si>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</si>
  <si>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</si>
  <si>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</si>
  <si>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</si>
  <si>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</si>
  <si>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</si>
  <si>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</si>
  <si>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</si>
  <si>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</si>
  <si>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</si>
  <si>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</si>
  <si>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</si>
  <si>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</si>
  <si>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</si>
  <si>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</si>
  <si>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</si>
  <si>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</si>
  <si>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</si>
  <si>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</si>
  <si>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</si>
  <si>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</si>
  <si>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</si>
  <si>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</si>
  <si>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</si>
  <si>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</si>
  <si>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</si>
  <si>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</si>
  <si>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</si>
  <si>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</si>
  <si>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</si>
  <si>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</si>
  <si>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</si>
  <si>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</si>
  <si>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</si>
  <si>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</si>
  <si>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</si>
  <si>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</si>
  <si>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</si>
  <si>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</si>
  <si>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</si>
  <si>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</si>
  <si>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</si>
  <si>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</si>
  <si>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</si>
  <si>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</si>
  <si>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</si>
  <si>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</si>
  <si>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</si>
  <si>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</si>
  <si>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</si>
  <si>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</si>
  <si>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</si>
  <si>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</si>
  <si>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</si>
  <si>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</si>
  <si>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</si>
  <si>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</si>
  <si>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</si>
  <si>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</si>
  <si>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</si>
  <si>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</si>
  <si>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</si>
  <si>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</si>
  <si>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</si>
  <si>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</si>
  <si>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</si>
  <si>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</si>
  <si>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</si>
  <si>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</si>
  <si>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</si>
  <si>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</si>
  <si>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</si>
  <si>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</si>
  <si>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</si>
  <si>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</si>
  <si>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</si>
  <si>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</si>
  <si>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</si>
  <si>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</si>
  <si>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</si>
  <si>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</si>
  <si>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</si>
  <si>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</si>
  <si>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</si>
  <si>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</si>
  <si>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</si>
  <si>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</si>
  <si>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</si>
  <si>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</si>
  <si>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</si>
  <si>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</si>
  <si>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</si>
  <si>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</si>
  <si>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</si>
  <si>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</si>
  <si>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</si>
  <si>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</si>
  <si>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</si>
  <si>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</si>
  <si>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</si>
  <si>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</si>
  <si>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</si>
  <si>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</si>
  <si>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</si>
  <si>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</si>
  <si>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</si>
  <si>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</si>
  <si>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</si>
  <si>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</si>
  <si>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</si>
  <si>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</si>
  <si>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</si>
  <si>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</si>
  <si>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</si>
  <si>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</si>
  <si>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</si>
  <si>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</si>
  <si>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</si>
  <si>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</si>
  <si>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</si>
  <si>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</si>
  <si>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</si>
  <si>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</si>
  <si>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</si>
  <si>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</si>
  <si>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</si>
  <si>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</si>
  <si>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</si>
  <si>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</si>
  <si>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</si>
  <si>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</si>
  <si>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</si>
  <si>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</si>
  <si>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</si>
  <si>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</si>
  <si>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</si>
  <si>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</si>
  <si>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</si>
  <si>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</si>
  <si>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</si>
  <si>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</si>
  <si>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</si>
  <si>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</si>
  <si>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</si>
  <si>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</si>
  <si>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</si>
  <si>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</si>
  <si>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</si>
  <si>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</si>
  <si>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</si>
  <si>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</si>
  <si>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</si>
  <si>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</si>
  <si>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</si>
  <si>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</si>
  <si>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</si>
  <si>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</si>
  <si>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</si>
  <si>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</si>
  <si>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</si>
  <si>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</si>
  <si>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</si>
  <si>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</si>
  <si>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</si>
  <si>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</si>
  <si>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</si>
  <si>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</si>
  <si>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</si>
  <si>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</si>
  <si>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</si>
  <si>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</si>
  <si>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</si>
  <si>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</si>
  <si>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</si>
  <si>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</si>
  <si>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</si>
  <si>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</si>
  <si>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</si>
  <si>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</si>
  <si>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</si>
  <si>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</si>
  <si>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</si>
  <si>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</si>
  <si>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</si>
  <si>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</si>
  <si>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</si>
  <si>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</si>
  <si>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</si>
  <si>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</si>
  <si>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</si>
  <si>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</si>
  <si>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</si>
  <si>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</si>
  <si>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</si>
  <si>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</si>
  <si>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</si>
  <si>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</si>
  <si>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</si>
  <si>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</si>
  <si>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</si>
  <si>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</si>
  <si>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</si>
  <si>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</si>
  <si>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</si>
  <si>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</si>
  <si>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</si>
  <si>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</si>
  <si>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</si>
  <si>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</si>
  <si>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</si>
  <si>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</si>
  <si>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</si>
  <si>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</si>
  <si>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</si>
  <si>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</si>
  <si>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</si>
  <si>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</si>
  <si>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</si>
  <si>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</si>
  <si>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</si>
  <si>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</si>
  <si>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</si>
  <si>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</si>
  <si>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</si>
  <si>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</si>
  <si>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</si>
  <si>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</si>
  <si>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</si>
  <si>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</si>
  <si>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</si>
  <si>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</si>
  <si>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</si>
  <si>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</si>
  <si>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</si>
  <si>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</si>
  <si>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</si>
  <si>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</si>
  <si>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</si>
  <si>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</si>
  <si>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</si>
  <si>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</si>
  <si>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</si>
  <si>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</si>
  <si>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</si>
  <si>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</si>
  <si>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</si>
  <si>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</si>
  <si>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</si>
  <si>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</si>
  <si>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</si>
  <si>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</si>
  <si>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</si>
  <si>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</si>
  <si>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</si>
  <si>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</si>
  <si>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</si>
  <si>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</si>
  <si>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</si>
  <si>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</si>
  <si>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</si>
  <si>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</si>
  <si>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</si>
  <si>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</si>
  <si>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</si>
  <si>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</si>
  <si>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</si>
  <si>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</si>
  <si>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</si>
  <si>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</si>
  <si>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</si>
  <si>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</si>
  <si>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</si>
  <si>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</si>
  <si>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</si>
  <si>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</si>
  <si>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</si>
  <si>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</si>
  <si>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</si>
  <si>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</si>
  <si>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</si>
  <si>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</si>
  <si>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</si>
  <si>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</si>
  <si>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</si>
  <si>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</si>
  <si>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</si>
  <si>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</si>
  <si>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</si>
  <si>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</si>
  <si>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</si>
  <si>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</si>
  <si>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</si>
  <si>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</si>
  <si>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</si>
  <si>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</si>
  <si>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</si>
  <si>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</si>
  <si>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</si>
  <si>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</si>
  <si>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</si>
  <si>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</si>
  <si>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</si>
  <si>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</si>
  <si>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</si>
  <si>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</si>
  <si>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</si>
  <si>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</si>
  <si>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</si>
  <si>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</si>
  <si>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</si>
  <si>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</si>
  <si>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</si>
  <si>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</si>
  <si>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</si>
  <si>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</si>
  <si>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</si>
  <si>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</si>
  <si>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</si>
  <si>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</si>
  <si>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</si>
  <si>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</si>
  <si>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</si>
  <si>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</si>
  <si>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</si>
  <si>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</si>
  <si>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</si>
  <si>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</si>
  <si>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</si>
  <si>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</si>
  <si>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</si>
  <si>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</si>
  <si>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</si>
  <si>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</si>
  <si>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</si>
  <si>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</si>
  <si>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</si>
  <si>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</si>
  <si>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</si>
  <si>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</si>
  <si>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</si>
  <si>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</si>
  <si>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</si>
  <si>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</si>
  <si>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</si>
  <si>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</si>
  <si>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</si>
  <si>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</si>
  <si>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</si>
  <si>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</si>
  <si>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</si>
  <si>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</si>
  <si>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</si>
  <si>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</si>
  <si>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</si>
  <si>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</si>
  <si>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</si>
  <si>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</si>
  <si>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</si>
  <si>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</si>
  <si>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</si>
  <si>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</si>
  <si>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</si>
  <si>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</si>
  <si>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</si>
  <si>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</si>
  <si>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</si>
  <si>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</si>
  <si>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</si>
  <si>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</si>
  <si>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</si>
  <si>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</si>
  <si>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</si>
  <si>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</si>
  <si>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</si>
  <si>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</si>
  <si>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</si>
  <si>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</si>
  <si>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</si>
  <si>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</si>
  <si>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</si>
  <si>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</si>
  <si>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</si>
  <si>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</si>
  <si>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</si>
  <si>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</si>
  <si>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</si>
  <si>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</si>
  <si>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</si>
  <si>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</si>
  <si>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</si>
  <si>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</si>
  <si>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</si>
  <si>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</si>
  <si>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</si>
  <si>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</si>
  <si>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</si>
  <si>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</si>
  <si>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</si>
  <si>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</si>
  <si>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</si>
  <si>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</si>
  <si>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</si>
  <si>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</si>
  <si>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</si>
  <si>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</si>
  <si>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</si>
  <si>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</si>
  <si>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</si>
  <si>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</si>
  <si>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</si>
  <si>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</si>
  <si>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</si>
  <si>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</si>
  <si>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</si>
  <si>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</si>
  <si>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</si>
  <si>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</si>
  <si>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</si>
  <si>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</si>
  <si>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</si>
  <si>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</si>
  <si>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</si>
  <si>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</si>
  <si>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</si>
  <si>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</si>
  <si>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</si>
  <si>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</si>
  <si>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</si>
  <si>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</si>
  <si>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</si>
  <si>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</si>
  <si>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</si>
  <si>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</si>
  <si>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</si>
  <si>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</si>
  <si>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</si>
  <si>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</si>
  <si>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</si>
  <si>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</si>
  <si>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</si>
  <si>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</si>
  <si>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</si>
  <si>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</si>
  <si>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</si>
  <si>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</si>
  <si>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</si>
  <si>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</si>
  <si>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</si>
  <si>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</si>
  <si>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</si>
  <si>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</si>
  <si>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</si>
  <si>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</si>
  <si>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</si>
  <si>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</si>
  <si>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</si>
  <si>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</si>
  <si>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</si>
  <si>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</si>
  <si>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</si>
  <si>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</si>
  <si>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</si>
  <si>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</si>
  <si>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</si>
  <si>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</si>
  <si>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</si>
  <si>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</si>
  <si>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</si>
  <si>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</si>
  <si>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</si>
  <si>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</si>
  <si>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</si>
  <si>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</si>
  <si>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</si>
  <si>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</si>
  <si>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</si>
  <si>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</si>
  <si>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</si>
  <si>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</si>
  <si>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</si>
  <si>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</si>
  <si>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</si>
  <si>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</si>
  <si>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</si>
  <si>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</si>
  <si>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</si>
  <si>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</si>
  <si>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</si>
  <si>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</si>
  <si>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</si>
  <si>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</si>
  <si>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</si>
  <si>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</si>
  <si>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</si>
  <si>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</si>
  <si>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</si>
  <si>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</si>
  <si>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</si>
  <si>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</si>
  <si>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</si>
  <si>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</si>
  <si>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</si>
  <si>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</si>
  <si>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</si>
  <si>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</si>
  <si>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</si>
  <si>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</si>
  <si>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</si>
  <si>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</si>
  <si>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</si>
  <si>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</si>
  <si>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</si>
  <si>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</si>
  <si>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</si>
  <si>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</si>
  <si>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</si>
  <si>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</si>
  <si>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</si>
  <si>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</si>
  <si>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</si>
  <si>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</si>
  <si>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</si>
  <si>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</si>
  <si>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</si>
  <si>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</si>
  <si>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</si>
  <si>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</si>
  <si>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</si>
  <si>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</si>
  <si>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</si>
  <si>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</si>
  <si>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</si>
  <si>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</si>
  <si>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</si>
  <si>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</si>
  <si>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</si>
  <si>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</si>
  <si>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</si>
  <si>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</si>
  <si>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</si>
  <si>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</si>
  <si>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</si>
  <si>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</si>
  <si>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</si>
  <si>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</si>
  <si>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</si>
  <si>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</si>
  <si>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</si>
  <si>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</si>
  <si>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</si>
  <si>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</si>
  <si>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</si>
  <si>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</si>
  <si>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</si>
  <si>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</si>
  <si>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</si>
  <si>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</si>
  <si>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</si>
  <si>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</si>
  <si>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</si>
  <si>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</si>
  <si>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</si>
  <si>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</si>
  <si>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</si>
  <si>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</si>
  <si>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</si>
  <si>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</si>
  <si>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</si>
  <si>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</si>
  <si>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</si>
  <si>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</si>
  <si>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</si>
  <si>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</si>
  <si>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</si>
  <si>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</si>
  <si>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</si>
  <si>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</si>
  <si>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</si>
  <si>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</si>
  <si>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</si>
  <si>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</si>
  <si>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</si>
  <si>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</si>
  <si>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</si>
  <si>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</si>
  <si>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</si>
  <si>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</si>
  <si>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</si>
  <si>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</si>
  <si>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</si>
  <si>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</si>
  <si>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</si>
  <si>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</si>
  <si>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</si>
  <si>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</si>
  <si>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</si>
  <si>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</si>
  <si>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</si>
  <si>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</si>
  <si>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</si>
  <si>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</si>
  <si>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</si>
  <si>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</si>
  <si>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</si>
  <si>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</si>
  <si>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</si>
  <si>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</si>
  <si>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</si>
  <si>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</si>
  <si>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</si>
  <si>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</si>
  <si>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</si>
  <si>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</si>
  <si>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</si>
  <si>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</si>
  <si>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</si>
  <si>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</si>
  <si>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</si>
  <si>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</si>
  <si>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</si>
  <si>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</si>
  <si>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</si>
  <si>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</si>
  <si>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</si>
  <si>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</si>
  <si>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</si>
  <si>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</si>
  <si>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</si>
  <si>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</si>
  <si>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</si>
  <si>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</si>
  <si>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</si>
  <si>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</si>
  <si>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</si>
  <si>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</si>
  <si>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</si>
  <si>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</si>
  <si>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</si>
  <si>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</si>
  <si>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</si>
  <si>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</si>
  <si>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</si>
  <si>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</si>
  <si>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</si>
  <si>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</si>
  <si>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</si>
  <si>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</si>
  <si>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</si>
  <si>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</si>
  <si>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</si>
  <si>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</si>
  <si>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</si>
  <si>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</si>
  <si>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</si>
  <si>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</si>
  <si>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</si>
  <si>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</si>
  <si>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</si>
  <si>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</si>
  <si>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</si>
  <si>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</si>
  <si>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</si>
  <si>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</si>
  <si>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</si>
  <si>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</si>
  <si>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</si>
  <si>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</si>
  <si>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</si>
  <si>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</si>
  <si>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</si>
  <si>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</si>
  <si>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</si>
  <si>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</si>
  <si>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</si>
  <si>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</si>
  <si>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</si>
  <si>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</si>
  <si>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</si>
  <si>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</si>
  <si>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</si>
  <si>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</si>
  <si>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</si>
  <si>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</si>
  <si>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</si>
  <si>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</si>
  <si>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</si>
  <si>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</si>
  <si>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</si>
  <si>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</si>
  <si>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</si>
  <si>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</si>
  <si>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</si>
  <si>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</si>
  <si>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</si>
  <si>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</si>
  <si>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</si>
  <si>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</si>
  <si>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</si>
  <si>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</si>
  <si>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</si>
  <si>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</si>
  <si>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</si>
  <si>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</si>
  <si>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</si>
  <si>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</si>
  <si>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</si>
  <si>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</si>
  <si>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</si>
  <si>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</si>
  <si>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</si>
  <si>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</si>
  <si>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</si>
  <si>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</si>
  <si>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</si>
  <si>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</si>
  <si>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</si>
  <si>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</si>
  <si>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</si>
  <si>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</si>
  <si>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</si>
  <si>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</si>
  <si>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</si>
  <si>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</si>
  <si>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</si>
  <si>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</si>
  <si>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</si>
  <si>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</si>
  <si>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</si>
  <si>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</si>
  <si>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</si>
  <si>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</si>
  <si>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</si>
  <si>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</si>
  <si>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</si>
  <si>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</si>
  <si>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</si>
  <si>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</si>
  <si>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</si>
  <si>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</si>
  <si>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</si>
  <si>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</si>
  <si>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</si>
  <si>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</si>
  <si>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</si>
  <si>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</si>
  <si>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</si>
  <si>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</si>
  <si>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</si>
  <si>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</si>
  <si>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</si>
  <si>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</si>
  <si>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</si>
  <si>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</si>
  <si>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</si>
  <si>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</si>
  <si>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</si>
  <si>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</si>
  <si>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</si>
  <si>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</si>
  <si>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</si>
  <si>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</si>
  <si>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*SEE SUPPLEMENTAL SCHEDULE*</t>
  </si>
  <si>
    <t>Nashua School District</t>
  </si>
  <si>
    <t xml:space="preserve">  SCHOLARSHIP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</si>
</sst>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371</v>
      </c>
      <c r="C2" s="21">
        <v>371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/>
      <c r="H9" s="18"/>
      <c r="I9" s="18"/>
      <c r="J9" s="67">
        <f>SUM(I439)</f>
        <v>3506905.68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5509459.5199999996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339400.38</v>
      </c>
      <c r="H12" s="18"/>
      <c r="I12" s="18">
        <v>826875.15</v>
      </c>
      <c r="J12" s="67">
        <f>SUM(I441)</f>
        <v>103226.87000000001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213629.14</v>
      </c>
      <c r="H13" s="18">
        <v>2896464.5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>
        <v>16075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553029.52</v>
      </c>
      <c r="H19" s="41">
        <f>SUM(H9:H18)</f>
        <v>2912539.5</v>
      </c>
      <c r="I19" s="41">
        <f>SUM(I9:I18)</f>
        <v>826875.15</v>
      </c>
      <c r="J19" s="41">
        <f>SUM(J9:J18)</f>
        <v>9119592.0699999984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1328573.74</v>
      </c>
      <c r="I22" s="18"/>
      <c r="J22" s="67">
        <f>SUM(I448)</f>
        <v>130420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v>3285.66</v>
      </c>
      <c r="H24" s="18">
        <v>325666.69</v>
      </c>
      <c r="I24" s="18">
        <v>150</v>
      </c>
      <c r="J24" s="67">
        <f>SUM(I450)</f>
        <v>2211.9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231009.84</v>
      </c>
      <c r="I30" s="18"/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3285.66</v>
      </c>
      <c r="H32" s="41">
        <f>SUM(H22:H31)</f>
        <v>1885250.27</v>
      </c>
      <c r="I32" s="41">
        <f>SUM(I22:I31)</f>
        <v>150</v>
      </c>
      <c r="J32" s="41">
        <f>SUM(J22:J31)</f>
        <v>132631.9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5051107.6399999997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400570.23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549181.22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69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850481.68</v>
      </c>
      <c r="I48" s="18">
        <v>-7418607.4800000004</v>
      </c>
      <c r="J48" s="13">
        <f>SUM(I459)</f>
        <v>3529328.08</v>
      </c>
      <c r="K48" s="24" t="s">
        <v>289</v>
      </c>
      <c r="L48" s="24" t="s">
        <v>289</v>
      </c>
      <c r="M48" s="8"/>
      <c r="N48" s="269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562.64</v>
      </c>
      <c r="H49" s="18">
        <v>176807.55</v>
      </c>
      <c r="I49" s="18">
        <v>8245332.6299999999</v>
      </c>
      <c r="J49" s="13">
        <f>I454</f>
        <v>5954.22</v>
      </c>
      <c r="K49" s="24"/>
      <c r="L49" s="24"/>
      <c r="M49" s="8"/>
      <c r="N49" s="269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69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549743.86</v>
      </c>
      <c r="H51" s="41">
        <f>SUM(H35:H50)</f>
        <v>1027289.23</v>
      </c>
      <c r="I51" s="41">
        <f>SUM(I35:I50)</f>
        <v>826725.14999999944</v>
      </c>
      <c r="J51" s="41">
        <f>SUM(J35:J50)</f>
        <v>8986960.1699999999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0</v>
      </c>
      <c r="G52" s="41">
        <f>G51+G32</f>
        <v>553029.52</v>
      </c>
      <c r="H52" s="41">
        <f>H51+H32</f>
        <v>2912539.5</v>
      </c>
      <c r="I52" s="41">
        <f>I51+I32</f>
        <v>826875.14999999944</v>
      </c>
      <c r="J52" s="41">
        <f>J51+J32</f>
        <v>9119592.0700000003</v>
      </c>
      <c r="K52" s="45" t="s">
        <v>289</v>
      </c>
      <c r="L52" s="45" t="s">
        <v>289</v>
      </c>
      <c r="M52" s="8"/>
      <c r="N52" s="269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69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69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69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86485579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69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69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0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86485579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0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21947.91</v>
      </c>
      <c r="G63" s="24" t="s">
        <v>289</v>
      </c>
      <c r="H63" s="18">
        <v>232422.12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>
        <v>41090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69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>
        <v>60625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0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>
        <v>61442.28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>
        <v>218618.04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71367.34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69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93315.25</v>
      </c>
      <c r="G79" s="45" t="s">
        <v>289</v>
      </c>
      <c r="H79" s="41">
        <f>SUM(H63:H78)</f>
        <v>614197.44000000006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69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69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69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69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83616.320000000007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69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83616.320000000007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69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>
        <v>55.05</v>
      </c>
      <c r="H96" s="18"/>
      <c r="I96" s="18"/>
      <c r="J96" s="18">
        <v>253873.15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1939411.43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256278.15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>
        <v>113553.37</v>
      </c>
      <c r="I101" s="18"/>
      <c r="J101" s="24" t="s">
        <v>289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>
        <v>366613.77</v>
      </c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69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45754.5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69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45754.5</v>
      </c>
      <c r="G111" s="41">
        <f>SUM(G96:G110)</f>
        <v>1939466.48</v>
      </c>
      <c r="H111" s="41">
        <f>SUM(H96:H110)</f>
        <v>369831.52</v>
      </c>
      <c r="I111" s="41">
        <f>SUM(I96:I110)</f>
        <v>0</v>
      </c>
      <c r="J111" s="41">
        <f>SUM(J96:J110)</f>
        <v>620486.92000000004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86708265.069999993</v>
      </c>
      <c r="G112" s="41">
        <f>G60+G111</f>
        <v>1939466.48</v>
      </c>
      <c r="H112" s="41">
        <f>H60+H79+H94+H111</f>
        <v>984028.96000000008</v>
      </c>
      <c r="I112" s="41">
        <f>I60+I111</f>
        <v>0</v>
      </c>
      <c r="J112" s="41">
        <f>J60+J111</f>
        <v>620486.92000000004</v>
      </c>
      <c r="K112" s="45" t="s">
        <v>289</v>
      </c>
      <c r="L112" s="45" t="s">
        <v>289</v>
      </c>
      <c r="M112" s="8"/>
      <c r="N112" s="269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69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69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69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35943296.520000003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19252197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69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55195493.520000003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69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2557794.77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69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69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390158.57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169239.17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2516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73024.95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69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69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8140.9</v>
      </c>
      <c r="I135" s="18"/>
      <c r="J135" s="18"/>
      <c r="K135" s="24" t="s">
        <v>289</v>
      </c>
      <c r="L135" s="24" t="s">
        <v>289</v>
      </c>
      <c r="M135" s="8"/>
      <c r="N135" s="269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3119708.51</v>
      </c>
      <c r="G136" s="41">
        <f>SUM(G123:G135)</f>
        <v>73024.95</v>
      </c>
      <c r="H136" s="41">
        <f>SUM(H123:H135)</f>
        <v>8140.9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69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69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58315202.030000001</v>
      </c>
      <c r="G140" s="41">
        <f>G121+SUM(G136:G137)</f>
        <v>73024.95</v>
      </c>
      <c r="H140" s="41">
        <f>H121+SUM(H136:H139)</f>
        <v>8140.9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69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69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69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69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69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69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208011.07</v>
      </c>
      <c r="I150" s="18"/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3317170.91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1471535.6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309340.34000000003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126138.96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2966418.23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2755833.06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1822207.32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69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1822207.32</v>
      </c>
      <c r="G162" s="41">
        <f>SUM(G150:G161)</f>
        <v>2966418.23</v>
      </c>
      <c r="H162" s="41">
        <f>SUM(H150:H161)</f>
        <v>8188029.9399999995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69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69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1822207.32</v>
      </c>
      <c r="G169" s="41">
        <f>G147+G162+SUM(G163:G168)</f>
        <v>2966418.23</v>
      </c>
      <c r="H169" s="41">
        <f>H147+H162+SUM(H163:H168)</f>
        <v>8188029.9399999995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69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69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69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69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7988500</v>
      </c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>
        <v>801750</v>
      </c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69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8790250</v>
      </c>
      <c r="J177" s="45" t="s">
        <v>289</v>
      </c>
      <c r="K177" s="45" t="s">
        <v>289</v>
      </c>
      <c r="L177" s="45" t="s">
        <v>289</v>
      </c>
      <c r="M177" s="8"/>
      <c r="N177" s="269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69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69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>
        <v>53445.27</v>
      </c>
      <c r="K182" s="24" t="s">
        <v>289</v>
      </c>
      <c r="L182" s="24" t="s">
        <v>289</v>
      </c>
      <c r="M182" s="8"/>
      <c r="N182" s="269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53445.27</v>
      </c>
      <c r="K183" s="45" t="s">
        <v>289</v>
      </c>
      <c r="L183" s="45" t="s">
        <v>289</v>
      </c>
      <c r="M183" s="8"/>
      <c r="N183" s="269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>
        <v>650000</v>
      </c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200000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69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200000</v>
      </c>
      <c r="G188" s="41">
        <f>SUM(G185:G187)</f>
        <v>0</v>
      </c>
      <c r="H188" s="41">
        <f>SUM(H185:H187)</f>
        <v>0</v>
      </c>
      <c r="I188" s="41">
        <f>SUM(I185:I187)</f>
        <v>650000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69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200000</v>
      </c>
      <c r="G192" s="41">
        <f>G183+SUM(G188:G191)</f>
        <v>0</v>
      </c>
      <c r="H192" s="41">
        <f>+H183+SUM(H188:H191)</f>
        <v>0</v>
      </c>
      <c r="I192" s="41">
        <f>I177+I183+SUM(I188:I191)</f>
        <v>9440250</v>
      </c>
      <c r="J192" s="41">
        <f>J183</f>
        <v>53445.27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147045674.41999999</v>
      </c>
      <c r="G193" s="47">
        <f>G112+G140+G169+G192</f>
        <v>4978909.66</v>
      </c>
      <c r="H193" s="47">
        <f>H112+H140+H169+H192</f>
        <v>9180199.7999999989</v>
      </c>
      <c r="I193" s="47">
        <f>I112+I140+I169+I192</f>
        <v>9440250</v>
      </c>
      <c r="J193" s="47">
        <f>J112+J140+J192</f>
        <v>673932.19000000006</v>
      </c>
      <c r="K193" s="45" t="s">
        <v>289</v>
      </c>
      <c r="L193" s="45" t="s">
        <v>289</v>
      </c>
      <c r="M193" s="8"/>
      <c r="N193" s="269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69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69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69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17978463.059999999</v>
      </c>
      <c r="G197" s="18">
        <v>7460624.6600000001</v>
      </c>
      <c r="H197" s="18">
        <v>200123</v>
      </c>
      <c r="I197" s="18">
        <v>305784.94</v>
      </c>
      <c r="J197" s="18">
        <v>58583.64</v>
      </c>
      <c r="K197" s="18">
        <v>0</v>
      </c>
      <c r="L197" s="19">
        <f>SUM(F197:K197)</f>
        <v>26003579.300000001</v>
      </c>
      <c r="M197" s="8"/>
      <c r="N197" s="269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8190178.4699999997</v>
      </c>
      <c r="G198" s="18">
        <v>2511914.59</v>
      </c>
      <c r="H198" s="18">
        <v>531789.13</v>
      </c>
      <c r="I198" s="18">
        <v>32772.19</v>
      </c>
      <c r="J198" s="18">
        <v>0</v>
      </c>
      <c r="K198" s="18">
        <v>0</v>
      </c>
      <c r="L198" s="19">
        <f>SUM(F198:K198)</f>
        <v>11266654.379999999</v>
      </c>
      <c r="M198" s="8"/>
      <c r="N198" s="269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69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132848.67000000001</v>
      </c>
      <c r="G200" s="18">
        <v>5162.17</v>
      </c>
      <c r="H200" s="18">
        <v>12538.13</v>
      </c>
      <c r="I200" s="18">
        <v>5947.62</v>
      </c>
      <c r="J200" s="18">
        <v>0</v>
      </c>
      <c r="K200" s="18">
        <v>-7691.83</v>
      </c>
      <c r="L200" s="19">
        <f>SUM(F200:K200)</f>
        <v>148804.76000000004</v>
      </c>
      <c r="M200" s="8"/>
      <c r="N200" s="269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69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3113763.86</v>
      </c>
      <c r="G202" s="18">
        <v>1320462.97</v>
      </c>
      <c r="H202" s="18">
        <v>434947.99</v>
      </c>
      <c r="I202" s="18">
        <v>18225.29</v>
      </c>
      <c r="J202" s="18">
        <v>0</v>
      </c>
      <c r="K202" s="18">
        <v>0</v>
      </c>
      <c r="L202" s="19">
        <f t="shared" ref="L202:L208" si="0">SUM(F202:K202)</f>
        <v>4887400.1100000003</v>
      </c>
      <c r="M202" s="8"/>
      <c r="N202" s="269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1349485</v>
      </c>
      <c r="G203" s="18">
        <v>511326.5</v>
      </c>
      <c r="H203" s="18">
        <v>45206.6</v>
      </c>
      <c r="I203" s="18">
        <v>239286.75</v>
      </c>
      <c r="J203" s="18">
        <v>550042.56999999995</v>
      </c>
      <c r="K203" s="18">
        <v>0</v>
      </c>
      <c r="L203" s="19">
        <f t="shared" si="0"/>
        <v>2695347.42</v>
      </c>
      <c r="M203" s="8"/>
      <c r="N203" s="269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851567.1</v>
      </c>
      <c r="G204" s="18">
        <v>420099.19</v>
      </c>
      <c r="H204" s="18">
        <v>289997.90000000002</v>
      </c>
      <c r="I204" s="18">
        <v>9413.69</v>
      </c>
      <c r="J204" s="18">
        <v>568.36</v>
      </c>
      <c r="K204" s="18">
        <v>38147.51</v>
      </c>
      <c r="L204" s="19">
        <f t="shared" si="0"/>
        <v>1609793.75</v>
      </c>
      <c r="M204" s="8"/>
      <c r="N204" s="269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2744577.7</v>
      </c>
      <c r="G205" s="18">
        <v>1243421.58</v>
      </c>
      <c r="H205" s="18">
        <v>11730.7</v>
      </c>
      <c r="I205" s="18">
        <v>16243.91</v>
      </c>
      <c r="J205" s="18">
        <v>3698.12</v>
      </c>
      <c r="K205" s="18">
        <v>0</v>
      </c>
      <c r="L205" s="19">
        <f t="shared" si="0"/>
        <v>4019672.0100000007</v>
      </c>
      <c r="M205" s="8"/>
      <c r="N205" s="269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364850.41</v>
      </c>
      <c r="G206" s="18">
        <v>98302.22</v>
      </c>
      <c r="H206" s="18">
        <v>9904.58</v>
      </c>
      <c r="I206" s="18">
        <v>0</v>
      </c>
      <c r="J206" s="18">
        <v>0</v>
      </c>
      <c r="K206" s="18">
        <v>0</v>
      </c>
      <c r="L206" s="19">
        <f t="shared" si="0"/>
        <v>473057.21</v>
      </c>
      <c r="M206" s="8"/>
      <c r="N206" s="269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2466382.7200000002</v>
      </c>
      <c r="G207" s="18">
        <v>1071672.23</v>
      </c>
      <c r="H207" s="18">
        <v>2371665.59</v>
      </c>
      <c r="I207" s="18">
        <v>330241.12</v>
      </c>
      <c r="J207" s="18">
        <v>10769.52</v>
      </c>
      <c r="K207" s="18">
        <v>-53290.6</v>
      </c>
      <c r="L207" s="19">
        <f t="shared" si="0"/>
        <v>6197440.5800000001</v>
      </c>
      <c r="M207" s="8"/>
      <c r="N207" s="269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41158.29</v>
      </c>
      <c r="G208" s="18">
        <v>14433.42</v>
      </c>
      <c r="H208" s="18">
        <v>2760813.01</v>
      </c>
      <c r="I208" s="18">
        <v>436.03</v>
      </c>
      <c r="J208" s="18">
        <v>0</v>
      </c>
      <c r="K208" s="18">
        <v>0</v>
      </c>
      <c r="L208" s="19">
        <f t="shared" si="0"/>
        <v>2816840.7499999995</v>
      </c>
      <c r="M208" s="8"/>
      <c r="N208" s="269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127802.39</v>
      </c>
      <c r="G209" s="18">
        <v>52146.85</v>
      </c>
      <c r="H209" s="18">
        <v>87731.94</v>
      </c>
      <c r="I209" s="18">
        <v>0</v>
      </c>
      <c r="J209" s="18">
        <v>0</v>
      </c>
      <c r="K209" s="18">
        <v>0</v>
      </c>
      <c r="L209" s="19">
        <f>SUM(F209:K209)</f>
        <v>267681.18</v>
      </c>
      <c r="M209" s="8"/>
      <c r="N209" s="269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69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37361077.669999994</v>
      </c>
      <c r="G211" s="41">
        <f t="shared" si="1"/>
        <v>14709566.380000001</v>
      </c>
      <c r="H211" s="41">
        <f t="shared" si="1"/>
        <v>6756448.5700000003</v>
      </c>
      <c r="I211" s="41">
        <f t="shared" si="1"/>
        <v>958351.54</v>
      </c>
      <c r="J211" s="41">
        <f t="shared" si="1"/>
        <v>623662.21</v>
      </c>
      <c r="K211" s="41">
        <f t="shared" si="1"/>
        <v>-22834.92</v>
      </c>
      <c r="L211" s="41">
        <f t="shared" si="1"/>
        <v>60386271.449999996</v>
      </c>
      <c r="M211" s="8"/>
      <c r="N211" s="269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69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69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69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9465830.4800000004</v>
      </c>
      <c r="G215" s="18">
        <v>3945746.94</v>
      </c>
      <c r="H215" s="18">
        <v>103729.84</v>
      </c>
      <c r="I215" s="18">
        <v>195241.03</v>
      </c>
      <c r="J215" s="18">
        <v>89429.02</v>
      </c>
      <c r="K215" s="18">
        <v>0</v>
      </c>
      <c r="L215" s="19">
        <f>SUM(F215:K215)</f>
        <v>13799977.309999999</v>
      </c>
      <c r="M215" s="8"/>
      <c r="N215" s="269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3054736.98</v>
      </c>
      <c r="G216" s="18">
        <v>1103971.79</v>
      </c>
      <c r="H216" s="18">
        <v>613997.41</v>
      </c>
      <c r="I216" s="18">
        <v>14231.39</v>
      </c>
      <c r="J216" s="18">
        <v>0</v>
      </c>
      <c r="K216" s="18">
        <v>0</v>
      </c>
      <c r="L216" s="19">
        <f>SUM(F216:K216)</f>
        <v>4786937.5699999994</v>
      </c>
      <c r="M216" s="8"/>
      <c r="N216" s="269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832922.87</v>
      </c>
      <c r="G217" s="18">
        <v>371761.22</v>
      </c>
      <c r="H217" s="18">
        <v>1772.01</v>
      </c>
      <c r="I217" s="18">
        <v>41180.120000000003</v>
      </c>
      <c r="J217" s="18">
        <v>5055.3100000000004</v>
      </c>
      <c r="K217" s="18">
        <v>0</v>
      </c>
      <c r="L217" s="19">
        <f>SUM(F217:K217)</f>
        <v>1252691.53</v>
      </c>
      <c r="M217" s="8"/>
      <c r="N217" s="269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52319</v>
      </c>
      <c r="G218" s="18">
        <v>1381.91</v>
      </c>
      <c r="H218" s="18">
        <v>60791.46</v>
      </c>
      <c r="I218" s="18">
        <v>2687.25</v>
      </c>
      <c r="J218" s="18">
        <v>0</v>
      </c>
      <c r="K218" s="18">
        <v>-3510.74</v>
      </c>
      <c r="L218" s="19">
        <f>SUM(F218:K218)</f>
        <v>113668.87999999999</v>
      </c>
      <c r="M218" s="8"/>
      <c r="N218" s="269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69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1901448</v>
      </c>
      <c r="G220" s="18">
        <v>818068.89</v>
      </c>
      <c r="H220" s="18">
        <v>204814.18</v>
      </c>
      <c r="I220" s="18">
        <v>7857.39</v>
      </c>
      <c r="J220" s="18">
        <v>0</v>
      </c>
      <c r="K220" s="18">
        <v>0</v>
      </c>
      <c r="L220" s="19">
        <f t="shared" ref="L220:L226" si="2">SUM(F220:K220)</f>
        <v>2932188.4600000004</v>
      </c>
      <c r="M220" s="8"/>
      <c r="N220" s="269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402571.34</v>
      </c>
      <c r="G221" s="18">
        <v>171591.53</v>
      </c>
      <c r="H221" s="18">
        <v>20633.400000000001</v>
      </c>
      <c r="I221" s="18">
        <v>106116.44</v>
      </c>
      <c r="J221" s="18">
        <v>251052.88</v>
      </c>
      <c r="K221" s="18">
        <v>0</v>
      </c>
      <c r="L221" s="19">
        <f t="shared" si="2"/>
        <v>951965.59</v>
      </c>
      <c r="M221" s="8"/>
      <c r="N221" s="269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388676.06</v>
      </c>
      <c r="G222" s="18">
        <v>191743.55</v>
      </c>
      <c r="H222" s="18">
        <v>132362.14000000001</v>
      </c>
      <c r="I222" s="18">
        <v>4296.6400000000003</v>
      </c>
      <c r="J222" s="18">
        <v>259.41000000000003</v>
      </c>
      <c r="K222" s="18">
        <v>17411.46</v>
      </c>
      <c r="L222" s="19">
        <f t="shared" si="2"/>
        <v>734749.26</v>
      </c>
      <c r="M222" s="8"/>
      <c r="N222" s="269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1063634.71</v>
      </c>
      <c r="G223" s="18">
        <v>370507.31</v>
      </c>
      <c r="H223" s="18">
        <v>2651.79</v>
      </c>
      <c r="I223" s="18">
        <v>10314.950000000001</v>
      </c>
      <c r="J223" s="18">
        <v>0</v>
      </c>
      <c r="K223" s="18">
        <v>0</v>
      </c>
      <c r="L223" s="19">
        <f t="shared" si="2"/>
        <v>1447108.76</v>
      </c>
      <c r="M223" s="8"/>
      <c r="N223" s="269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166526.65</v>
      </c>
      <c r="G224" s="18">
        <v>44867.54</v>
      </c>
      <c r="H224" s="18">
        <v>4520.6899999999996</v>
      </c>
      <c r="I224" s="18">
        <v>0</v>
      </c>
      <c r="J224" s="18">
        <v>0</v>
      </c>
      <c r="K224" s="18">
        <v>0</v>
      </c>
      <c r="L224" s="19">
        <f t="shared" si="2"/>
        <v>215914.88</v>
      </c>
      <c r="M224" s="8"/>
      <c r="N224" s="269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1265440.0900000001</v>
      </c>
      <c r="G225" s="18">
        <v>553569.19999999995</v>
      </c>
      <c r="H225" s="18">
        <v>1082515.1200000001</v>
      </c>
      <c r="I225" s="18">
        <v>150730.13</v>
      </c>
      <c r="J225" s="18">
        <v>4915.47</v>
      </c>
      <c r="K225" s="18">
        <v>-24323.13</v>
      </c>
      <c r="L225" s="19">
        <f t="shared" si="2"/>
        <v>3032846.8800000004</v>
      </c>
      <c r="M225" s="8"/>
      <c r="N225" s="269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27445.79</v>
      </c>
      <c r="G226" s="18">
        <v>9624.7099999999991</v>
      </c>
      <c r="H226" s="18">
        <v>1276012.49</v>
      </c>
      <c r="I226" s="18">
        <v>290.76</v>
      </c>
      <c r="J226" s="18">
        <v>0</v>
      </c>
      <c r="K226" s="18">
        <v>0</v>
      </c>
      <c r="L226" s="19">
        <f t="shared" si="2"/>
        <v>1313373.75</v>
      </c>
      <c r="M226" s="8"/>
      <c r="N226" s="269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58332.14</v>
      </c>
      <c r="G227" s="18">
        <v>23801.1</v>
      </c>
      <c r="H227" s="18">
        <v>40043</v>
      </c>
      <c r="I227" s="18">
        <v>0</v>
      </c>
      <c r="J227" s="18">
        <v>0</v>
      </c>
      <c r="K227" s="18">
        <v>0</v>
      </c>
      <c r="L227" s="19">
        <f>SUM(F227:K227)</f>
        <v>122176.23999999999</v>
      </c>
      <c r="M227" s="8"/>
      <c r="N227" s="269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69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18679884.109999999</v>
      </c>
      <c r="G229" s="41">
        <f>SUM(G215:G228)</f>
        <v>7606635.6899999995</v>
      </c>
      <c r="H229" s="41">
        <f>SUM(H215:H228)</f>
        <v>3543843.5300000003</v>
      </c>
      <c r="I229" s="41">
        <f>SUM(I215:I228)</f>
        <v>532946.10000000009</v>
      </c>
      <c r="J229" s="41">
        <f>SUM(J215:J228)</f>
        <v>350712.08999999997</v>
      </c>
      <c r="K229" s="41">
        <f t="shared" si="3"/>
        <v>-10422.410000000002</v>
      </c>
      <c r="L229" s="41">
        <f t="shared" si="3"/>
        <v>30703599.109999999</v>
      </c>
      <c r="M229" s="8"/>
      <c r="N229" s="269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69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69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69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10925737.949999999</v>
      </c>
      <c r="G233" s="18">
        <v>4818399.8099999996</v>
      </c>
      <c r="H233" s="18">
        <v>220049.53</v>
      </c>
      <c r="I233" s="18">
        <v>200229.68</v>
      </c>
      <c r="J233" s="18">
        <v>42741.37</v>
      </c>
      <c r="K233" s="18">
        <v>0</v>
      </c>
      <c r="L233" s="19">
        <f>SUM(F233:K233)</f>
        <v>16207158.339999996</v>
      </c>
      <c r="M233" s="8"/>
      <c r="N233" s="269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2977390.02</v>
      </c>
      <c r="G234" s="18">
        <v>1007723.01</v>
      </c>
      <c r="H234" s="18">
        <v>2945591.65</v>
      </c>
      <c r="I234" s="18">
        <v>16632.560000000001</v>
      </c>
      <c r="J234" s="18">
        <v>0</v>
      </c>
      <c r="K234" s="18">
        <v>0</v>
      </c>
      <c r="L234" s="19">
        <f>SUM(F234:K234)</f>
        <v>6947337.2399999993</v>
      </c>
      <c r="M234" s="8"/>
      <c r="N234" s="269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2552400.29</v>
      </c>
      <c r="G235" s="18">
        <v>1068024.57</v>
      </c>
      <c r="H235" s="18">
        <v>24476.93</v>
      </c>
      <c r="I235" s="18">
        <v>148954.64000000001</v>
      </c>
      <c r="J235" s="18">
        <v>14343.75</v>
      </c>
      <c r="K235" s="18">
        <v>0</v>
      </c>
      <c r="L235" s="19">
        <f>SUM(F235:K235)</f>
        <v>3808200.1800000006</v>
      </c>
      <c r="M235" s="8"/>
      <c r="N235" s="269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443922.78</v>
      </c>
      <c r="G236" s="18">
        <v>30589.64</v>
      </c>
      <c r="H236" s="18">
        <v>431059.21</v>
      </c>
      <c r="I236" s="18">
        <v>15471.03</v>
      </c>
      <c r="J236" s="18">
        <v>0</v>
      </c>
      <c r="K236" s="18">
        <v>-143546.26999999999</v>
      </c>
      <c r="L236" s="19">
        <f>SUM(F236:K236)</f>
        <v>777496.39000000013</v>
      </c>
      <c r="M236" s="8"/>
      <c r="N236" s="269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69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3134545.04</v>
      </c>
      <c r="G238" s="18">
        <v>1264414.6200000001</v>
      </c>
      <c r="H238" s="18">
        <v>342423.66</v>
      </c>
      <c r="I238" s="18">
        <v>8752.07</v>
      </c>
      <c r="J238" s="18">
        <v>0</v>
      </c>
      <c r="K238" s="18">
        <v>0</v>
      </c>
      <c r="L238" s="19">
        <f t="shared" ref="L238:L244" si="4">SUM(F238:K238)</f>
        <v>4750135.3900000006</v>
      </c>
      <c r="M238" s="8"/>
      <c r="N238" s="269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678203.24</v>
      </c>
      <c r="G239" s="18">
        <v>237154.34</v>
      </c>
      <c r="H239" s="18">
        <v>31545.73</v>
      </c>
      <c r="I239" s="18">
        <v>166905.94</v>
      </c>
      <c r="J239" s="18">
        <v>370953.49</v>
      </c>
      <c r="K239" s="18">
        <v>0</v>
      </c>
      <c r="L239" s="19">
        <f t="shared" si="4"/>
        <v>1484762.74</v>
      </c>
      <c r="M239" s="8"/>
      <c r="N239" s="269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574304.26</v>
      </c>
      <c r="G240" s="18">
        <v>283318.55</v>
      </c>
      <c r="H240" s="18">
        <v>195577.1</v>
      </c>
      <c r="I240" s="18">
        <v>6348.67</v>
      </c>
      <c r="J240" s="18">
        <v>383.3</v>
      </c>
      <c r="K240" s="18">
        <v>25727.01</v>
      </c>
      <c r="L240" s="19">
        <f t="shared" si="4"/>
        <v>1085658.8900000001</v>
      </c>
      <c r="M240" s="8"/>
      <c r="N240" s="269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1249534.6299999999</v>
      </c>
      <c r="G241" s="18">
        <v>432776.75</v>
      </c>
      <c r="H241" s="18">
        <v>6025.54</v>
      </c>
      <c r="I241" s="18">
        <v>0</v>
      </c>
      <c r="J241" s="18">
        <v>0</v>
      </c>
      <c r="K241" s="18">
        <v>0</v>
      </c>
      <c r="L241" s="19">
        <f t="shared" si="4"/>
        <v>1688336.92</v>
      </c>
      <c r="M241" s="8"/>
      <c r="N241" s="269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246058.29</v>
      </c>
      <c r="G242" s="18">
        <v>66295.87</v>
      </c>
      <c r="H242" s="18">
        <v>6679.73</v>
      </c>
      <c r="I242" s="18">
        <v>0</v>
      </c>
      <c r="J242" s="18">
        <v>0</v>
      </c>
      <c r="K242" s="18">
        <v>0</v>
      </c>
      <c r="L242" s="19">
        <f t="shared" si="4"/>
        <v>319033.89</v>
      </c>
      <c r="M242" s="8"/>
      <c r="N242" s="269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2112660.9700000002</v>
      </c>
      <c r="G243" s="18">
        <v>899455.64</v>
      </c>
      <c r="H243" s="18">
        <v>1704001.2</v>
      </c>
      <c r="I243" s="18">
        <v>222717.48</v>
      </c>
      <c r="J243" s="18">
        <v>7263.05</v>
      </c>
      <c r="K243" s="18">
        <v>-35939.64</v>
      </c>
      <c r="L243" s="19">
        <f t="shared" si="4"/>
        <v>4910158.7000000011</v>
      </c>
      <c r="M243" s="8"/>
      <c r="N243" s="269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35278.54</v>
      </c>
      <c r="G244" s="18">
        <v>12371.51</v>
      </c>
      <c r="H244" s="18">
        <v>1693023.28</v>
      </c>
      <c r="I244" s="18">
        <v>373.74</v>
      </c>
      <c r="J244" s="18">
        <v>0</v>
      </c>
      <c r="K244" s="18">
        <v>0</v>
      </c>
      <c r="L244" s="19">
        <f t="shared" si="4"/>
        <v>1741047.07</v>
      </c>
      <c r="M244" s="8"/>
      <c r="N244" s="269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86191.039999999994</v>
      </c>
      <c r="G245" s="18">
        <v>35168.29</v>
      </c>
      <c r="H245" s="18">
        <v>59167.18</v>
      </c>
      <c r="I245" s="18">
        <v>0</v>
      </c>
      <c r="J245" s="18">
        <v>0</v>
      </c>
      <c r="K245" s="18">
        <v>0</v>
      </c>
      <c r="L245" s="19">
        <f>SUM(F245:K245)</f>
        <v>180526.50999999998</v>
      </c>
      <c r="M245" s="8"/>
      <c r="N245" s="269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69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25016227.049999993</v>
      </c>
      <c r="G247" s="41">
        <f t="shared" si="5"/>
        <v>10155692.6</v>
      </c>
      <c r="H247" s="41">
        <f t="shared" si="5"/>
        <v>7659620.7400000002</v>
      </c>
      <c r="I247" s="41">
        <f t="shared" si="5"/>
        <v>786385.81</v>
      </c>
      <c r="J247" s="41">
        <f t="shared" si="5"/>
        <v>435684.95999999996</v>
      </c>
      <c r="K247" s="41">
        <f t="shared" si="5"/>
        <v>-153758.9</v>
      </c>
      <c r="L247" s="41">
        <f t="shared" si="5"/>
        <v>43899852.259999998</v>
      </c>
      <c r="M247" s="8"/>
      <c r="N247" s="269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69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69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69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94570.03</v>
      </c>
      <c r="G251" s="18">
        <v>34357.96</v>
      </c>
      <c r="H251" s="18">
        <v>280</v>
      </c>
      <c r="I251" s="18">
        <v>0</v>
      </c>
      <c r="J251" s="18">
        <v>0</v>
      </c>
      <c r="K251" s="18">
        <v>0</v>
      </c>
      <c r="L251" s="19">
        <f t="shared" si="6"/>
        <v>129207.98999999999</v>
      </c>
      <c r="M251" s="8"/>
      <c r="N251" s="269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69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69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>
        <v>102529</v>
      </c>
      <c r="L255" s="19">
        <f t="shared" si="6"/>
        <v>102529</v>
      </c>
      <c r="M255" s="8"/>
      <c r="N255" s="269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94570.03</v>
      </c>
      <c r="G256" s="41">
        <f t="shared" si="7"/>
        <v>34357.96</v>
      </c>
      <c r="H256" s="41">
        <f t="shared" si="7"/>
        <v>280</v>
      </c>
      <c r="I256" s="41">
        <f t="shared" si="7"/>
        <v>0</v>
      </c>
      <c r="J256" s="41">
        <f t="shared" si="7"/>
        <v>0</v>
      </c>
      <c r="K256" s="41">
        <f t="shared" si="7"/>
        <v>102529</v>
      </c>
      <c r="L256" s="41">
        <f>SUM(F256:K256)</f>
        <v>231736.99</v>
      </c>
      <c r="M256" s="8"/>
      <c r="N256" s="269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81151758.859999985</v>
      </c>
      <c r="G257" s="41">
        <f t="shared" si="8"/>
        <v>32506252.630000003</v>
      </c>
      <c r="H257" s="41">
        <f t="shared" si="8"/>
        <v>17960192.840000004</v>
      </c>
      <c r="I257" s="41">
        <f t="shared" si="8"/>
        <v>2277683.4500000002</v>
      </c>
      <c r="J257" s="41">
        <f t="shared" si="8"/>
        <v>1410059.2599999998</v>
      </c>
      <c r="K257" s="41">
        <f t="shared" si="8"/>
        <v>-84487.229999999981</v>
      </c>
      <c r="L257" s="41">
        <f t="shared" si="8"/>
        <v>135221459.81</v>
      </c>
      <c r="M257" s="8"/>
      <c r="N257" s="269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69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69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8783882.75</v>
      </c>
      <c r="L260" s="19">
        <f>SUM(F260:K260)</f>
        <v>8783882.75</v>
      </c>
      <c r="M260" s="8"/>
      <c r="N260" s="269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3040331.86</v>
      </c>
      <c r="L261" s="19">
        <f>SUM(F261:K261)</f>
        <v>3040331.86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11824214.609999999</v>
      </c>
      <c r="L270" s="41">
        <f t="shared" si="9"/>
        <v>11824214.609999999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81151758.859999985</v>
      </c>
      <c r="G271" s="42">
        <f t="shared" si="11"/>
        <v>32506252.630000003</v>
      </c>
      <c r="H271" s="42">
        <f t="shared" si="11"/>
        <v>17960192.840000004</v>
      </c>
      <c r="I271" s="42">
        <f t="shared" si="11"/>
        <v>2277683.4500000002</v>
      </c>
      <c r="J271" s="42">
        <f t="shared" si="11"/>
        <v>1410059.2599999998</v>
      </c>
      <c r="K271" s="42">
        <f t="shared" si="11"/>
        <v>11739727.379999999</v>
      </c>
      <c r="L271" s="42">
        <f t="shared" si="11"/>
        <v>147045674.42000002</v>
      </c>
      <c r="M271" s="8"/>
      <c r="N271" s="269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69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69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69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69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174852.65</v>
      </c>
      <c r="G276" s="18">
        <v>68245.899999999994</v>
      </c>
      <c r="H276" s="18"/>
      <c r="I276" s="18">
        <v>8721.2099999999991</v>
      </c>
      <c r="J276" s="18">
        <v>4800</v>
      </c>
      <c r="K276" s="18"/>
      <c r="L276" s="19">
        <f>SUM(F276:K276)</f>
        <v>256619.75999999998</v>
      </c>
      <c r="M276" s="8"/>
      <c r="N276" s="269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2356659.6</v>
      </c>
      <c r="G277" s="18">
        <v>554200.52</v>
      </c>
      <c r="H277" s="18">
        <v>110245.03</v>
      </c>
      <c r="I277" s="18">
        <v>195096.27</v>
      </c>
      <c r="J277" s="18">
        <v>50230.18</v>
      </c>
      <c r="K277" s="18"/>
      <c r="L277" s="19">
        <f>SUM(F277:K277)</f>
        <v>3266431.6</v>
      </c>
      <c r="M277" s="8"/>
      <c r="N277" s="269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69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363031.01</v>
      </c>
      <c r="G279" s="18">
        <v>93500.28</v>
      </c>
      <c r="H279" s="18">
        <v>16154.49</v>
      </c>
      <c r="I279" s="18">
        <v>47502.02</v>
      </c>
      <c r="J279" s="18"/>
      <c r="K279" s="18"/>
      <c r="L279" s="19">
        <f>SUM(F279:K279)</f>
        <v>520187.80000000005</v>
      </c>
      <c r="M279" s="8"/>
      <c r="N279" s="269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69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795.54</v>
      </c>
      <c r="G281" s="18"/>
      <c r="H281" s="18">
        <v>121118.74</v>
      </c>
      <c r="I281" s="18"/>
      <c r="J281" s="18"/>
      <c r="K281" s="18"/>
      <c r="L281" s="19">
        <f t="shared" ref="L281:L287" si="12">SUM(F281:K281)</f>
        <v>121914.28</v>
      </c>
      <c r="M281" s="8"/>
      <c r="N281" s="269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744621.95</v>
      </c>
      <c r="G282" s="18">
        <v>271680.15000000002</v>
      </c>
      <c r="H282" s="18">
        <v>196480.98</v>
      </c>
      <c r="I282" s="18">
        <v>28883.31</v>
      </c>
      <c r="J282" s="18">
        <v>93460.63</v>
      </c>
      <c r="K282" s="18"/>
      <c r="L282" s="19">
        <f t="shared" si="12"/>
        <v>1335127.02</v>
      </c>
      <c r="M282" s="8"/>
      <c r="N282" s="269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69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66406.720000000001</v>
      </c>
      <c r="G284" s="18">
        <v>41163.4</v>
      </c>
      <c r="H284" s="18">
        <v>1808.66</v>
      </c>
      <c r="I284" s="18"/>
      <c r="J284" s="18"/>
      <c r="K284" s="18"/>
      <c r="L284" s="19">
        <f t="shared" si="12"/>
        <v>109378.78</v>
      </c>
      <c r="M284" s="8"/>
      <c r="N284" s="269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159214.72</v>
      </c>
      <c r="L285" s="19">
        <f t="shared" si="12"/>
        <v>159214.72</v>
      </c>
      <c r="M285" s="8"/>
      <c r="N285" s="269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33952.46</v>
      </c>
      <c r="G286" s="18"/>
      <c r="H286" s="18"/>
      <c r="I286" s="18"/>
      <c r="J286" s="18"/>
      <c r="K286" s="18">
        <v>18282.09</v>
      </c>
      <c r="L286" s="19">
        <f t="shared" si="12"/>
        <v>52234.55</v>
      </c>
      <c r="M286" s="8"/>
      <c r="N286" s="269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211085.24</v>
      </c>
      <c r="I287" s="18"/>
      <c r="J287" s="18"/>
      <c r="K287" s="18"/>
      <c r="L287" s="19">
        <f t="shared" si="12"/>
        <v>211085.24</v>
      </c>
      <c r="M287" s="8"/>
      <c r="N287" s="269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>
        <v>33.39</v>
      </c>
      <c r="J288" s="18"/>
      <c r="K288" s="18"/>
      <c r="L288" s="19">
        <f>SUM(F288:K288)</f>
        <v>33.39</v>
      </c>
      <c r="M288" s="8"/>
      <c r="N288" s="269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69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3740319.93</v>
      </c>
      <c r="G290" s="42">
        <f t="shared" si="13"/>
        <v>1028790.2500000001</v>
      </c>
      <c r="H290" s="42">
        <f t="shared" si="13"/>
        <v>656893.1399999999</v>
      </c>
      <c r="I290" s="42">
        <f t="shared" si="13"/>
        <v>280236.2</v>
      </c>
      <c r="J290" s="42">
        <f t="shared" si="13"/>
        <v>148490.81</v>
      </c>
      <c r="K290" s="42">
        <f t="shared" si="13"/>
        <v>177496.81</v>
      </c>
      <c r="L290" s="41">
        <f t="shared" si="13"/>
        <v>6032227.1399999997</v>
      </c>
      <c r="M290" s="8"/>
      <c r="N290" s="269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69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69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69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69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294026.51</v>
      </c>
      <c r="G296" s="18">
        <v>131924.71</v>
      </c>
      <c r="H296" s="18">
        <v>70132.58</v>
      </c>
      <c r="I296" s="18">
        <v>61.44</v>
      </c>
      <c r="J296" s="18">
        <v>7286.62</v>
      </c>
      <c r="K296" s="18"/>
      <c r="L296" s="19">
        <f>SUM(F296:K296)</f>
        <v>503431.86</v>
      </c>
      <c r="M296" s="8"/>
      <c r="N296" s="269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69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69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69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24181.32</v>
      </c>
      <c r="G300" s="18">
        <v>14827.69</v>
      </c>
      <c r="H300" s="18">
        <v>57034.03</v>
      </c>
      <c r="I300" s="18"/>
      <c r="J300" s="18"/>
      <c r="K300" s="18"/>
      <c r="L300" s="19">
        <f t="shared" ref="L300:L306" si="14">SUM(F300:K300)</f>
        <v>96043.040000000008</v>
      </c>
      <c r="M300" s="8"/>
      <c r="N300" s="269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102018.22</v>
      </c>
      <c r="G301" s="18">
        <v>30601.99</v>
      </c>
      <c r="H301" s="18">
        <v>48332.3</v>
      </c>
      <c r="I301" s="18">
        <v>9887.2099999999991</v>
      </c>
      <c r="J301" s="18">
        <v>449.49</v>
      </c>
      <c r="K301" s="18"/>
      <c r="L301" s="19">
        <f t="shared" si="14"/>
        <v>191289.21</v>
      </c>
      <c r="M301" s="8"/>
      <c r="N301" s="269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v>33831.199999999997</v>
      </c>
      <c r="L304" s="19">
        <f t="shared" si="14"/>
        <v>33831.199999999997</v>
      </c>
      <c r="M304" s="8"/>
      <c r="N304" s="269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16238.13</v>
      </c>
      <c r="G305" s="18"/>
      <c r="H305" s="18"/>
      <c r="I305" s="18"/>
      <c r="J305" s="18"/>
      <c r="K305" s="18">
        <v>8743.61</v>
      </c>
      <c r="L305" s="19">
        <f t="shared" si="14"/>
        <v>24981.739999999998</v>
      </c>
      <c r="M305" s="8"/>
      <c r="N305" s="269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71837.69</v>
      </c>
      <c r="I306" s="18"/>
      <c r="J306" s="18"/>
      <c r="K306" s="18"/>
      <c r="L306" s="19">
        <f t="shared" si="14"/>
        <v>71837.69</v>
      </c>
      <c r="M306" s="8"/>
      <c r="N306" s="269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69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69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436464.18000000005</v>
      </c>
      <c r="G309" s="42">
        <f t="shared" si="15"/>
        <v>177354.38999999998</v>
      </c>
      <c r="H309" s="42">
        <f t="shared" si="15"/>
        <v>247336.6</v>
      </c>
      <c r="I309" s="42">
        <f t="shared" si="15"/>
        <v>9948.65</v>
      </c>
      <c r="J309" s="42">
        <f t="shared" si="15"/>
        <v>7736.11</v>
      </c>
      <c r="K309" s="42">
        <f t="shared" si="15"/>
        <v>42574.81</v>
      </c>
      <c r="L309" s="41">
        <f t="shared" si="15"/>
        <v>921414.74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69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69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69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69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3325</v>
      </c>
      <c r="G314" s="18"/>
      <c r="H314" s="18">
        <v>7782.24</v>
      </c>
      <c r="I314" s="18">
        <v>325.27</v>
      </c>
      <c r="J314" s="18"/>
      <c r="K314" s="18"/>
      <c r="L314" s="19">
        <f>SUM(F314:K314)</f>
        <v>11432.51</v>
      </c>
      <c r="M314" s="8"/>
      <c r="N314" s="269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530825.5</v>
      </c>
      <c r="G315" s="18">
        <v>227380.47</v>
      </c>
      <c r="H315" s="18">
        <v>280530.34000000003</v>
      </c>
      <c r="I315" s="18">
        <v>245.74</v>
      </c>
      <c r="J315" s="18">
        <v>29146.49</v>
      </c>
      <c r="K315" s="18"/>
      <c r="L315" s="19">
        <f>SUM(F315:K315)</f>
        <v>1068128.54</v>
      </c>
      <c r="M315" s="8"/>
      <c r="N315" s="269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62455.6</v>
      </c>
      <c r="G316" s="18">
        <v>18218.419999999998</v>
      </c>
      <c r="H316" s="18">
        <v>4100</v>
      </c>
      <c r="I316" s="18">
        <v>18097.439999999999</v>
      </c>
      <c r="J316" s="18">
        <v>119965.79</v>
      </c>
      <c r="K316" s="18"/>
      <c r="L316" s="19">
        <f>SUM(F316:K316)</f>
        <v>222837.25</v>
      </c>
      <c r="M316" s="8"/>
      <c r="N316" s="269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105715.89</v>
      </c>
      <c r="G317" s="18">
        <v>6598.68</v>
      </c>
      <c r="H317" s="18">
        <v>14811.97</v>
      </c>
      <c r="I317" s="18">
        <v>56788.98</v>
      </c>
      <c r="J317" s="18">
        <v>9688.1299999999992</v>
      </c>
      <c r="K317" s="18">
        <v>138358.82999999999</v>
      </c>
      <c r="L317" s="19">
        <f>SUM(F317:K317)</f>
        <v>331962.48</v>
      </c>
      <c r="M317" s="8"/>
      <c r="N317" s="269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69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624.84</v>
      </c>
      <c r="G319" s="18"/>
      <c r="H319" s="18">
        <v>95129.59</v>
      </c>
      <c r="I319" s="18"/>
      <c r="J319" s="18"/>
      <c r="K319" s="18"/>
      <c r="L319" s="19">
        <f t="shared" ref="L319:L325" si="16">SUM(F319:K319)</f>
        <v>95754.43</v>
      </c>
      <c r="M319" s="8"/>
      <c r="N319" s="269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199203.72</v>
      </c>
      <c r="G320" s="18">
        <v>45217.23</v>
      </c>
      <c r="H320" s="18">
        <v>194896.97</v>
      </c>
      <c r="I320" s="18">
        <v>28458.73</v>
      </c>
      <c r="J320" s="18">
        <v>3404.16</v>
      </c>
      <c r="K320" s="18"/>
      <c r="L320" s="19">
        <f t="shared" si="16"/>
        <v>471180.81</v>
      </c>
      <c r="M320" s="8"/>
      <c r="N320" s="269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69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65131.65</v>
      </c>
      <c r="L323" s="19">
        <f t="shared" si="16"/>
        <v>65131.65</v>
      </c>
      <c r="M323" s="8"/>
      <c r="N323" s="269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23619.1</v>
      </c>
      <c r="G324" s="18"/>
      <c r="H324" s="18"/>
      <c r="I324" s="18"/>
      <c r="J324" s="18"/>
      <c r="K324" s="18">
        <v>12717.98</v>
      </c>
      <c r="L324" s="19">
        <f t="shared" si="16"/>
        <v>36337.08</v>
      </c>
      <c r="M324" s="8"/>
      <c r="N324" s="269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107973.46</v>
      </c>
      <c r="I325" s="18"/>
      <c r="J325" s="18"/>
      <c r="K325" s="18"/>
      <c r="L325" s="19">
        <f t="shared" si="16"/>
        <v>107973.46</v>
      </c>
      <c r="M325" s="8"/>
      <c r="N325" s="269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69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69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925769.64999999991</v>
      </c>
      <c r="G328" s="42">
        <f t="shared" si="17"/>
        <v>297414.8</v>
      </c>
      <c r="H328" s="42">
        <f t="shared" si="17"/>
        <v>705224.57</v>
      </c>
      <c r="I328" s="42">
        <f t="shared" si="17"/>
        <v>103916.15999999999</v>
      </c>
      <c r="J328" s="42">
        <f t="shared" si="17"/>
        <v>162204.57</v>
      </c>
      <c r="K328" s="42">
        <f t="shared" si="17"/>
        <v>216208.46</v>
      </c>
      <c r="L328" s="41">
        <f t="shared" si="17"/>
        <v>2410738.21</v>
      </c>
      <c r="M328" s="8"/>
      <c r="N328" s="269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69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69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69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v>16170.4</v>
      </c>
      <c r="I332" s="18">
        <v>289.06</v>
      </c>
      <c r="J332" s="18"/>
      <c r="K332" s="18"/>
      <c r="L332" s="19">
        <f t="shared" ref="L332:L337" si="18">SUM(F332:K332)</f>
        <v>16459.46</v>
      </c>
      <c r="M332" s="8"/>
      <c r="N332" s="269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124885.14</v>
      </c>
      <c r="G333" s="18">
        <v>9796.27</v>
      </c>
      <c r="H333" s="18">
        <v>11080.73</v>
      </c>
      <c r="I333" s="18">
        <v>14727.35</v>
      </c>
      <c r="J333" s="18">
        <v>2981.7</v>
      </c>
      <c r="K333" s="18">
        <v>484.4</v>
      </c>
      <c r="L333" s="19">
        <f t="shared" si="18"/>
        <v>163955.59000000003</v>
      </c>
      <c r="M333" s="8"/>
      <c r="N333" s="269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69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69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69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124885.14</v>
      </c>
      <c r="G337" s="41">
        <f t="shared" si="19"/>
        <v>9796.27</v>
      </c>
      <c r="H337" s="41">
        <f t="shared" si="19"/>
        <v>27251.129999999997</v>
      </c>
      <c r="I337" s="41">
        <f t="shared" si="19"/>
        <v>15016.41</v>
      </c>
      <c r="J337" s="41">
        <f t="shared" si="19"/>
        <v>2981.7</v>
      </c>
      <c r="K337" s="41">
        <f t="shared" si="19"/>
        <v>484.4</v>
      </c>
      <c r="L337" s="41">
        <f t="shared" si="18"/>
        <v>180415.05000000002</v>
      </c>
      <c r="M337" s="8"/>
      <c r="N337" s="269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5227438.8999999994</v>
      </c>
      <c r="G338" s="41">
        <f t="shared" si="20"/>
        <v>1513355.7100000002</v>
      </c>
      <c r="H338" s="41">
        <f t="shared" si="20"/>
        <v>1636705.4399999997</v>
      </c>
      <c r="I338" s="41">
        <f t="shared" si="20"/>
        <v>409117.42</v>
      </c>
      <c r="J338" s="41">
        <f t="shared" si="20"/>
        <v>321413.19</v>
      </c>
      <c r="K338" s="41">
        <f t="shared" si="20"/>
        <v>436764.48</v>
      </c>
      <c r="L338" s="41">
        <f t="shared" si="20"/>
        <v>9544795.1400000006</v>
      </c>
      <c r="M338" s="8"/>
      <c r="N338" s="269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69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69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69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69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69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69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69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69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69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69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69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69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5227438.8999999994</v>
      </c>
      <c r="G352" s="41">
        <f>G338</f>
        <v>1513355.7100000002</v>
      </c>
      <c r="H352" s="41">
        <f>H338</f>
        <v>1636705.4399999997</v>
      </c>
      <c r="I352" s="41">
        <f>I338</f>
        <v>409117.42</v>
      </c>
      <c r="J352" s="41">
        <f>J338</f>
        <v>321413.19</v>
      </c>
      <c r="K352" s="47">
        <f>K338+K351</f>
        <v>436764.48</v>
      </c>
      <c r="L352" s="41">
        <f>L338+L351</f>
        <v>9544795.1400000006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69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69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69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69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771509.52</v>
      </c>
      <c r="G358" s="18">
        <v>271529.42</v>
      </c>
      <c r="H358" s="18">
        <v>28974.74</v>
      </c>
      <c r="I358" s="18">
        <v>1005593.43</v>
      </c>
      <c r="J358" s="18">
        <v>11912.72</v>
      </c>
      <c r="K358" s="18">
        <v>0</v>
      </c>
      <c r="L358" s="13">
        <f>SUM(F358:K358)</f>
        <v>2089519.8299999998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453732.52</v>
      </c>
      <c r="G359" s="18">
        <v>127404.57</v>
      </c>
      <c r="H359" s="18">
        <v>12667.01</v>
      </c>
      <c r="I359" s="18">
        <v>540885.59</v>
      </c>
      <c r="J359" s="18">
        <v>35482.22</v>
      </c>
      <c r="K359" s="18">
        <v>0</v>
      </c>
      <c r="L359" s="19">
        <f>SUM(F359:K359)</f>
        <v>1170171.9099999999</v>
      </c>
      <c r="M359" s="8"/>
      <c r="N359" s="269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625654.27</v>
      </c>
      <c r="G360" s="18">
        <v>159875.75</v>
      </c>
      <c r="H360" s="18">
        <v>19597.240000000002</v>
      </c>
      <c r="I360" s="18">
        <v>790920.38</v>
      </c>
      <c r="J360" s="18">
        <v>20470.38</v>
      </c>
      <c r="K360" s="18">
        <v>0</v>
      </c>
      <c r="L360" s="19">
        <f>SUM(F360:K360)</f>
        <v>1616518.02</v>
      </c>
      <c r="M360" s="8"/>
      <c r="N360" s="269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69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1850896.31</v>
      </c>
      <c r="G362" s="47">
        <f t="shared" si="22"/>
        <v>558809.74</v>
      </c>
      <c r="H362" s="47">
        <f t="shared" si="22"/>
        <v>61238.990000000005</v>
      </c>
      <c r="I362" s="47">
        <f t="shared" si="22"/>
        <v>2337399.4</v>
      </c>
      <c r="J362" s="47">
        <f t="shared" si="22"/>
        <v>67865.320000000007</v>
      </c>
      <c r="K362" s="47">
        <f t="shared" si="22"/>
        <v>0</v>
      </c>
      <c r="L362" s="47">
        <f t="shared" si="22"/>
        <v>4876209.76</v>
      </c>
      <c r="M362" s="8"/>
      <c r="N362" s="269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69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69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898018.81</v>
      </c>
      <c r="G367" s="18">
        <v>485683.78</v>
      </c>
      <c r="H367" s="18">
        <v>705081.73</v>
      </c>
      <c r="I367" s="56">
        <f>SUM(F367:H367)</f>
        <v>2088784.32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107574.62</v>
      </c>
      <c r="G368" s="63">
        <v>55201.81</v>
      </c>
      <c r="H368" s="63">
        <v>85838.65</v>
      </c>
      <c r="I368" s="56">
        <f>SUM(F368:H368)</f>
        <v>248615.08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1005593.43</v>
      </c>
      <c r="G369" s="47">
        <f>SUM(G367:G368)</f>
        <v>540885.59000000008</v>
      </c>
      <c r="H369" s="47">
        <f>SUM(H367:H368)</f>
        <v>790920.38</v>
      </c>
      <c r="I369" s="47">
        <f>SUM(I367:I368)</f>
        <v>2337399.4</v>
      </c>
      <c r="J369" s="24" t="s">
        <v>289</v>
      </c>
      <c r="K369" s="24" t="s">
        <v>289</v>
      </c>
      <c r="L369" s="24" t="s">
        <v>289</v>
      </c>
      <c r="M369" s="8"/>
      <c r="N369" s="269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69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69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69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69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69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>
        <v>6113</v>
      </c>
      <c r="L375" s="13">
        <f t="shared" ref="L375:L381" si="23">SUM(F375:K375)</f>
        <v>6113</v>
      </c>
      <c r="M375" s="8"/>
      <c r="N375" s="269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>
        <v>7702169.0599999996</v>
      </c>
      <c r="L379" s="13">
        <f t="shared" si="23"/>
        <v>7702169.0599999996</v>
      </c>
      <c r="M379" s="8"/>
      <c r="N379" s="269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69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53445.27</v>
      </c>
      <c r="L381" s="13">
        <f t="shared" si="23"/>
        <v>53445.27</v>
      </c>
      <c r="M381" s="8"/>
      <c r="N381" s="269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7761727.3299999991</v>
      </c>
      <c r="L382" s="47">
        <f t="shared" si="24"/>
        <v>7761727.3299999991</v>
      </c>
      <c r="M382" s="8"/>
      <c r="N382" s="269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69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69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69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69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69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69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53445.27</v>
      </c>
      <c r="H392" s="18">
        <v>733.6</v>
      </c>
      <c r="I392" s="18"/>
      <c r="J392" s="24" t="s">
        <v>289</v>
      </c>
      <c r="K392" s="24" t="s">
        <v>289</v>
      </c>
      <c r="L392" s="56">
        <f t="shared" si="25"/>
        <v>54178.869999999995</v>
      </c>
      <c r="M392" s="8"/>
      <c r="N392" s="269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53445.27</v>
      </c>
      <c r="H393" s="139">
        <f>SUM(H387:H392)</f>
        <v>733.6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54178.869999999995</v>
      </c>
      <c r="M393" s="8"/>
      <c r="N393" s="269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69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69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69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69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69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69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297.66000000000003</v>
      </c>
      <c r="I400" s="18">
        <v>358059.6</v>
      </c>
      <c r="J400" s="24" t="s">
        <v>289</v>
      </c>
      <c r="K400" s="24" t="s">
        <v>289</v>
      </c>
      <c r="L400" s="56">
        <f t="shared" si="26"/>
        <v>358357.25999999995</v>
      </c>
      <c r="M400" s="8"/>
      <c r="N400" s="269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297.66000000000003</v>
      </c>
      <c r="I401" s="47">
        <f>SUM(I395:I400)</f>
        <v>358059.6</v>
      </c>
      <c r="J401" s="45" t="s">
        <v>289</v>
      </c>
      <c r="K401" s="45" t="s">
        <v>289</v>
      </c>
      <c r="L401" s="47">
        <f>SUM(L395:L400)</f>
        <v>358357.25999999995</v>
      </c>
      <c r="M401" s="8"/>
      <c r="N401" s="269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69"/>
    </row>
    <row r="403" spans="1:21" s="3" customFormat="1" ht="12" customHeight="1" x14ac:dyDescent="0.15">
      <c r="A403" s="110" t="s">
        <v>913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>
        <v>252841.89</v>
      </c>
      <c r="I403" s="18">
        <v>8554.17</v>
      </c>
      <c r="J403" s="24" t="s">
        <v>289</v>
      </c>
      <c r="K403" s="24" t="s">
        <v>289</v>
      </c>
      <c r="L403" s="56">
        <f>SUM(F403:K403)</f>
        <v>261396.06000000003</v>
      </c>
      <c r="M403" s="8"/>
      <c r="N403" s="269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69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252841.89</v>
      </c>
      <c r="I407" s="47">
        <f>SUM(I403:I406)</f>
        <v>8554.17</v>
      </c>
      <c r="J407" s="49" t="s">
        <v>289</v>
      </c>
      <c r="K407" s="49" t="s">
        <v>289</v>
      </c>
      <c r="L407" s="47">
        <f>SUM(L403:L406)</f>
        <v>261396.06000000003</v>
      </c>
      <c r="M407" s="8"/>
      <c r="N407" s="269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53445.27</v>
      </c>
      <c r="H408" s="47">
        <f>H393+H401+H407</f>
        <v>253873.15000000002</v>
      </c>
      <c r="I408" s="47">
        <f>I393+I401+I407</f>
        <v>366613.76999999996</v>
      </c>
      <c r="J408" s="24" t="s">
        <v>289</v>
      </c>
      <c r="K408" s="24" t="s">
        <v>289</v>
      </c>
      <c r="L408" s="47">
        <f>L393+L401+L407</f>
        <v>673932.19</v>
      </c>
      <c r="M408" s="8"/>
      <c r="N408" s="269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69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69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69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69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69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69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69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>
        <v>130908.7</v>
      </c>
      <c r="K418" s="18">
        <v>650000</v>
      </c>
      <c r="L418" s="56">
        <f t="shared" si="27"/>
        <v>780908.7</v>
      </c>
      <c r="M418" s="8"/>
      <c r="N418" s="269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130908.7</v>
      </c>
      <c r="K419" s="139">
        <f t="shared" si="28"/>
        <v>650000</v>
      </c>
      <c r="L419" s="47">
        <f t="shared" si="28"/>
        <v>780908.7</v>
      </c>
      <c r="M419" s="8"/>
      <c r="N419" s="269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69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69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69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69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69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69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6914.4</v>
      </c>
      <c r="G426" s="18"/>
      <c r="H426" s="18">
        <v>12135.74</v>
      </c>
      <c r="I426" s="18">
        <v>34996.44</v>
      </c>
      <c r="J426" s="18">
        <v>15559.11</v>
      </c>
      <c r="K426" s="18">
        <v>200405.44</v>
      </c>
      <c r="L426" s="56">
        <f t="shared" si="29"/>
        <v>270011.13</v>
      </c>
      <c r="M426" s="8"/>
      <c r="N426" s="269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6914.4</v>
      </c>
      <c r="G427" s="47">
        <f t="shared" si="30"/>
        <v>0</v>
      </c>
      <c r="H427" s="47">
        <f t="shared" si="30"/>
        <v>12135.74</v>
      </c>
      <c r="I427" s="47">
        <f t="shared" si="30"/>
        <v>34996.44</v>
      </c>
      <c r="J427" s="47">
        <f t="shared" si="30"/>
        <v>15559.11</v>
      </c>
      <c r="K427" s="47">
        <f t="shared" si="30"/>
        <v>200405.44</v>
      </c>
      <c r="L427" s="47">
        <f t="shared" si="30"/>
        <v>270011.13</v>
      </c>
      <c r="M427" s="8"/>
      <c r="N427" s="269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913</v>
      </c>
      <c r="B429" s="6">
        <v>17</v>
      </c>
      <c r="C429" s="6">
        <v>15</v>
      </c>
      <c r="D429" s="2" t="s">
        <v>433</v>
      </c>
      <c r="E429" s="6"/>
      <c r="F429" s="18"/>
      <c r="G429" s="18"/>
      <c r="H429" s="18">
        <v>172021.47</v>
      </c>
      <c r="I429" s="18">
        <v>800</v>
      </c>
      <c r="J429" s="18"/>
      <c r="K429" s="18"/>
      <c r="L429" s="56">
        <f>SUM(F429:K429)</f>
        <v>172821.47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69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172021.47</v>
      </c>
      <c r="I433" s="47">
        <f t="shared" si="31"/>
        <v>800</v>
      </c>
      <c r="J433" s="47">
        <f t="shared" si="31"/>
        <v>0</v>
      </c>
      <c r="K433" s="47">
        <f t="shared" si="31"/>
        <v>0</v>
      </c>
      <c r="L433" s="47">
        <f t="shared" si="31"/>
        <v>172821.47</v>
      </c>
      <c r="M433" s="8"/>
      <c r="N433" s="269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6914.4</v>
      </c>
      <c r="G434" s="47">
        <f t="shared" si="32"/>
        <v>0</v>
      </c>
      <c r="H434" s="47">
        <f t="shared" si="32"/>
        <v>184157.21</v>
      </c>
      <c r="I434" s="47">
        <f t="shared" si="32"/>
        <v>35796.44</v>
      </c>
      <c r="J434" s="47">
        <f t="shared" si="32"/>
        <v>146467.81</v>
      </c>
      <c r="K434" s="47">
        <f t="shared" si="32"/>
        <v>850405.44</v>
      </c>
      <c r="L434" s="47">
        <f t="shared" si="32"/>
        <v>1223741.3</v>
      </c>
      <c r="M434" s="8"/>
      <c r="N434" s="269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69"/>
    </row>
    <row r="436" spans="1:14" s="3" customFormat="1" ht="12" customHeight="1" x14ac:dyDescent="0.15">
      <c r="A436" s="34" t="s">
        <v>0</v>
      </c>
      <c r="K436" s="56"/>
      <c r="L436" s="13"/>
      <c r="M436" s="8"/>
      <c r="N436" s="269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69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2305008.4700000002</v>
      </c>
      <c r="G439" s="18">
        <v>1129258.8600000001</v>
      </c>
      <c r="H439" s="18">
        <v>72638.350000000006</v>
      </c>
      <c r="I439" s="56">
        <f t="shared" ref="I439:I445" si="33">SUM(F439:H439)</f>
        <v>3506905.68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>
        <v>5509459.5199999996</v>
      </c>
      <c r="I440" s="56">
        <f t="shared" si="33"/>
        <v>5509459.5199999996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15226.1</v>
      </c>
      <c r="G441" s="18">
        <v>88000.77</v>
      </c>
      <c r="H441" s="18"/>
      <c r="I441" s="56">
        <f t="shared" si="33"/>
        <v>103226.87000000001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2320234.5700000003</v>
      </c>
      <c r="G446" s="13">
        <f>SUM(G439:G445)</f>
        <v>1217259.6300000001</v>
      </c>
      <c r="H446" s="13">
        <f>SUM(H439:H445)</f>
        <v>5582097.8699999992</v>
      </c>
      <c r="I446" s="13">
        <f>SUM(I439:I445)</f>
        <v>9119592.0699999984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>
        <v>130420</v>
      </c>
      <c r="I448" s="56">
        <f>SUM(F448:H448)</f>
        <v>130420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>
        <v>2211.9</v>
      </c>
      <c r="H450" s="18"/>
      <c r="I450" s="56">
        <f>SUM(F450:H450)</f>
        <v>2211.9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2211.9</v>
      </c>
      <c r="H452" s="72">
        <f>SUM(H448:H451)</f>
        <v>130420</v>
      </c>
      <c r="I452" s="72">
        <f>SUM(I448:I451)</f>
        <v>132631.9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>
        <v>5954.22</v>
      </c>
      <c r="H454" s="18"/>
      <c r="I454" s="56">
        <f t="shared" ref="I454:I459" si="34">SUM(F454:H454)</f>
        <v>5954.22</v>
      </c>
      <c r="J454" s="24" t="s">
        <v>289</v>
      </c>
      <c r="K454" s="24" t="s">
        <v>289</v>
      </c>
      <c r="L454" s="24" t="s">
        <v>289</v>
      </c>
      <c r="M454" s="8"/>
      <c r="N454" s="269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69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69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>
        <v>5051107.6399999997</v>
      </c>
      <c r="I457" s="56">
        <f t="shared" si="34"/>
        <v>5051107.6399999997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>
        <v>400570.23</v>
      </c>
      <c r="I458" s="56">
        <f t="shared" si="34"/>
        <v>400570.23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2320234.5699999998</v>
      </c>
      <c r="G459" s="18">
        <v>1209093.51</v>
      </c>
      <c r="H459" s="18"/>
      <c r="I459" s="56">
        <f t="shared" si="34"/>
        <v>3529328.08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2320234.5699999998</v>
      </c>
      <c r="G460" s="83">
        <f>SUM(G454:G459)</f>
        <v>1215047.73</v>
      </c>
      <c r="H460" s="83">
        <f>SUM(H454:H459)</f>
        <v>5451677.8699999992</v>
      </c>
      <c r="I460" s="83">
        <f>SUM(I454:I459)</f>
        <v>8986960.1699999999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2320234.5699999998</v>
      </c>
      <c r="G461" s="42">
        <f>G452+G460</f>
        <v>1217259.6299999999</v>
      </c>
      <c r="H461" s="42">
        <f>H452+H460</f>
        <v>5582097.8699999992</v>
      </c>
      <c r="I461" s="42">
        <f>I452+I460</f>
        <v>9119592.0700000003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/>
      <c r="G465" s="18">
        <v>447043.96</v>
      </c>
      <c r="H465" s="18">
        <v>1391884.57</v>
      </c>
      <c r="I465" s="18">
        <v>-851797.52</v>
      </c>
      <c r="J465" s="18">
        <v>9536769.2799999993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147045674.41999999</v>
      </c>
      <c r="G468" s="18">
        <v>4978909.66</v>
      </c>
      <c r="H468" s="18">
        <v>9180199.8000000007</v>
      </c>
      <c r="I468" s="18">
        <v>9440250</v>
      </c>
      <c r="J468" s="18">
        <v>673932.19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147045674.41999999</v>
      </c>
      <c r="G470" s="53">
        <f>SUM(G468:G469)</f>
        <v>4978909.66</v>
      </c>
      <c r="H470" s="53">
        <f>SUM(H468:H469)</f>
        <v>9180199.8000000007</v>
      </c>
      <c r="I470" s="53">
        <f>SUM(I468:I469)</f>
        <v>9440250</v>
      </c>
      <c r="J470" s="53">
        <f>SUM(J468:J469)</f>
        <v>673932.19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147045674.41999999</v>
      </c>
      <c r="G472" s="18">
        <v>4876209.76</v>
      </c>
      <c r="H472" s="18">
        <v>9544795.1400000006</v>
      </c>
      <c r="I472" s="18">
        <v>7761727.3300000001</v>
      </c>
      <c r="J472" s="18">
        <v>1223741.3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147045674.41999999</v>
      </c>
      <c r="G474" s="53">
        <f>SUM(G472:G473)</f>
        <v>4876209.76</v>
      </c>
      <c r="H474" s="53">
        <f>SUM(H472:H473)</f>
        <v>9544795.1400000006</v>
      </c>
      <c r="I474" s="53">
        <f>SUM(I472:I473)</f>
        <v>7761727.3300000001</v>
      </c>
      <c r="J474" s="53">
        <f>SUM(J472:J473)</f>
        <v>1223741.3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0</v>
      </c>
      <c r="G476" s="53">
        <f>(G465+G470)- G474</f>
        <v>549743.86000000034</v>
      </c>
      <c r="H476" s="53">
        <f>(H465+H470)- H474</f>
        <v>1027289.2300000004</v>
      </c>
      <c r="I476" s="53">
        <f>(I465+I470)- I474</f>
        <v>826725.15000000037</v>
      </c>
      <c r="J476" s="53">
        <f>(J465+J470)- J474</f>
        <v>8986960.1699999981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 t="s">
        <v>911</v>
      </c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71743530</v>
      </c>
      <c r="G495" s="18"/>
      <c r="H495" s="18"/>
      <c r="I495" s="18"/>
      <c r="J495" s="18"/>
      <c r="K495" s="53">
        <f>SUM(F495:J495)</f>
        <v>71743530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7988500</v>
      </c>
      <c r="G496" s="18"/>
      <c r="H496" s="18"/>
      <c r="I496" s="18"/>
      <c r="J496" s="18"/>
      <c r="K496" s="53">
        <f t="shared" ref="K496:K503" si="35">SUM(F496:J496)</f>
        <v>7988500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8783883</v>
      </c>
      <c r="G497" s="18"/>
      <c r="H497" s="18"/>
      <c r="I497" s="18"/>
      <c r="J497" s="18"/>
      <c r="K497" s="53">
        <f t="shared" si="35"/>
        <v>8783883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70948145</v>
      </c>
      <c r="G498" s="204"/>
      <c r="H498" s="204"/>
      <c r="I498" s="204"/>
      <c r="J498" s="204"/>
      <c r="K498" s="205">
        <f t="shared" si="35"/>
        <v>70948145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15908136</v>
      </c>
      <c r="G499" s="18"/>
      <c r="H499" s="18"/>
      <c r="I499" s="18"/>
      <c r="J499" s="18"/>
      <c r="K499" s="53">
        <f t="shared" si="35"/>
        <v>15908136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86856281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86856281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8907380</v>
      </c>
      <c r="G501" s="204"/>
      <c r="H501" s="204"/>
      <c r="I501" s="204"/>
      <c r="J501" s="204"/>
      <c r="K501" s="205">
        <f t="shared" si="35"/>
        <v>8907380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2841068</v>
      </c>
      <c r="G502" s="18"/>
      <c r="H502" s="18"/>
      <c r="I502" s="18"/>
      <c r="J502" s="18"/>
      <c r="K502" s="53">
        <f t="shared" si="35"/>
        <v>2841068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11748448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11748448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13895945</v>
      </c>
      <c r="G507" s="144"/>
      <c r="H507" s="144">
        <v>859100.08</v>
      </c>
      <c r="I507" s="144">
        <v>13036844.92</v>
      </c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7904703.8799999999</v>
      </c>
      <c r="G521" s="18">
        <v>2456626.2599999998</v>
      </c>
      <c r="H521" s="18">
        <v>811870.68</v>
      </c>
      <c r="I521" s="18">
        <v>89948.52</v>
      </c>
      <c r="J521" s="18">
        <v>20733.03</v>
      </c>
      <c r="K521" s="18">
        <v>0</v>
      </c>
      <c r="L521" s="88">
        <f>SUM(F521:K521)</f>
        <v>11283882.369999999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2577330.75</v>
      </c>
      <c r="G522" s="18">
        <v>1138821.92</v>
      </c>
      <c r="H522" s="18">
        <v>838200.82</v>
      </c>
      <c r="I522" s="18">
        <v>41859.019999999997</v>
      </c>
      <c r="J522" s="18">
        <v>9763.0499999999993</v>
      </c>
      <c r="K522" s="18">
        <v>0</v>
      </c>
      <c r="L522" s="88">
        <f>SUM(F522:K522)</f>
        <v>4605975.5599999996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3020826.76</v>
      </c>
      <c r="G523" s="18">
        <v>1113854.93</v>
      </c>
      <c r="H523" s="18">
        <v>3790512.75</v>
      </c>
      <c r="I523" s="18">
        <v>64178.19</v>
      </c>
      <c r="J523" s="18">
        <v>16284.22</v>
      </c>
      <c r="K523" s="18">
        <v>0</v>
      </c>
      <c r="L523" s="88">
        <f>SUM(F523:K523)</f>
        <v>8005656.8499999996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13502861.389999999</v>
      </c>
      <c r="G524" s="108">
        <f t="shared" ref="G524:L524" si="36">SUM(G521:G523)</f>
        <v>4709303.1099999994</v>
      </c>
      <c r="H524" s="108">
        <f t="shared" si="36"/>
        <v>5440584.25</v>
      </c>
      <c r="I524" s="108">
        <f t="shared" si="36"/>
        <v>195985.73</v>
      </c>
      <c r="J524" s="108">
        <f t="shared" si="36"/>
        <v>46780.299999999996</v>
      </c>
      <c r="K524" s="108">
        <f t="shared" si="36"/>
        <v>0</v>
      </c>
      <c r="L524" s="89">
        <f t="shared" si="36"/>
        <v>23895514.780000001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1568547.18</v>
      </c>
      <c r="G526" s="18">
        <v>621621.65</v>
      </c>
      <c r="H526" s="18">
        <v>679430.03</v>
      </c>
      <c r="I526" s="18">
        <v>6933.86</v>
      </c>
      <c r="J526" s="18">
        <v>0</v>
      </c>
      <c r="K526" s="18">
        <v>0</v>
      </c>
      <c r="L526" s="88">
        <f>SUM(F526:K526)</f>
        <v>2876532.72</v>
      </c>
      <c r="M526" s="8"/>
      <c r="N526" s="269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681510.59</v>
      </c>
      <c r="G527" s="18">
        <v>265916.71000000002</v>
      </c>
      <c r="H527" s="18">
        <v>322208.65000000002</v>
      </c>
      <c r="I527" s="18">
        <v>3159.34</v>
      </c>
      <c r="J527" s="18">
        <v>0</v>
      </c>
      <c r="K527" s="18">
        <v>0</v>
      </c>
      <c r="L527" s="88">
        <f>SUM(F527:K527)</f>
        <v>1272795.2900000003</v>
      </c>
      <c r="M527" s="8"/>
      <c r="N527" s="269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1136659.54</v>
      </c>
      <c r="G528" s="18">
        <v>443527.22</v>
      </c>
      <c r="H528" s="18">
        <v>536897.64</v>
      </c>
      <c r="I528" s="18">
        <v>4544.59</v>
      </c>
      <c r="J528" s="18">
        <v>0</v>
      </c>
      <c r="K528" s="18">
        <v>0</v>
      </c>
      <c r="L528" s="88">
        <f>SUM(F528:K528)</f>
        <v>2121628.9899999998</v>
      </c>
      <c r="M528" s="8"/>
      <c r="N528" s="269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3386717.31</v>
      </c>
      <c r="G529" s="89">
        <f t="shared" ref="G529:L529" si="37">SUM(G526:G528)</f>
        <v>1331065.58</v>
      </c>
      <c r="H529" s="89">
        <f t="shared" si="37"/>
        <v>1538536.32</v>
      </c>
      <c r="I529" s="89">
        <f t="shared" si="37"/>
        <v>14637.79</v>
      </c>
      <c r="J529" s="89">
        <f t="shared" si="37"/>
        <v>0</v>
      </c>
      <c r="K529" s="89">
        <f t="shared" si="37"/>
        <v>0</v>
      </c>
      <c r="L529" s="89">
        <f t="shared" si="37"/>
        <v>6270957</v>
      </c>
      <c r="M529" s="8"/>
      <c r="N529" s="269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69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120694.91</v>
      </c>
      <c r="G531" s="18">
        <v>49246.71</v>
      </c>
      <c r="H531" s="18">
        <v>13736.96</v>
      </c>
      <c r="I531" s="18">
        <v>0</v>
      </c>
      <c r="J531" s="18">
        <v>0</v>
      </c>
      <c r="K531" s="18">
        <v>0</v>
      </c>
      <c r="L531" s="88">
        <f>SUM(F531:K531)</f>
        <v>183678.58</v>
      </c>
      <c r="M531" s="8"/>
      <c r="N531" s="269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56834.45</v>
      </c>
      <c r="G532" s="18">
        <v>23189.96</v>
      </c>
      <c r="H532" s="18">
        <v>6468.64</v>
      </c>
      <c r="I532" s="18">
        <v>0</v>
      </c>
      <c r="J532" s="18">
        <v>0</v>
      </c>
      <c r="K532" s="18">
        <v>0</v>
      </c>
      <c r="L532" s="88">
        <f>SUM(F532:K532)</f>
        <v>86493.05</v>
      </c>
      <c r="M532" s="8"/>
      <c r="N532" s="269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94796.7</v>
      </c>
      <c r="G533" s="18">
        <v>38679.56</v>
      </c>
      <c r="H533" s="18">
        <v>10789.34</v>
      </c>
      <c r="I533" s="18">
        <v>0</v>
      </c>
      <c r="J533" s="18">
        <v>0</v>
      </c>
      <c r="K533" s="18">
        <v>0</v>
      </c>
      <c r="L533" s="88">
        <f>SUM(F533:K533)</f>
        <v>144265.60000000001</v>
      </c>
      <c r="M533" s="8"/>
      <c r="N533" s="269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272326.06</v>
      </c>
      <c r="G534" s="89">
        <f t="shared" ref="G534:L534" si="38">SUM(G531:G533)</f>
        <v>111116.23</v>
      </c>
      <c r="H534" s="89">
        <f t="shared" si="38"/>
        <v>30994.94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414437.23</v>
      </c>
      <c r="M534" s="8"/>
      <c r="N534" s="269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69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69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69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69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69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69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1730406.57</v>
      </c>
      <c r="I541" s="18"/>
      <c r="J541" s="18"/>
      <c r="K541" s="18"/>
      <c r="L541" s="88">
        <f>SUM(F541:K541)</f>
        <v>1730406.57</v>
      </c>
      <c r="M541" s="8"/>
      <c r="N541" s="269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588901.48</v>
      </c>
      <c r="I542" s="18"/>
      <c r="J542" s="18"/>
      <c r="K542" s="18"/>
      <c r="L542" s="88">
        <f>SUM(F542:K542)</f>
        <v>588901.48</v>
      </c>
      <c r="M542" s="8"/>
      <c r="N542" s="269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809817.75</v>
      </c>
      <c r="I543" s="18"/>
      <c r="J543" s="18"/>
      <c r="K543" s="18"/>
      <c r="L543" s="88">
        <f>SUM(F543:K543)</f>
        <v>809817.75</v>
      </c>
      <c r="M543" s="8"/>
      <c r="N543" s="269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3129125.8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3129125.8</v>
      </c>
      <c r="M544" s="8"/>
      <c r="N544" s="269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17161904.759999998</v>
      </c>
      <c r="G545" s="89">
        <f t="shared" ref="G545:L545" si="41">G524+G529+G534+G539+G544</f>
        <v>6151484.9199999999</v>
      </c>
      <c r="H545" s="89">
        <f t="shared" si="41"/>
        <v>10139241.310000001</v>
      </c>
      <c r="I545" s="89">
        <f t="shared" si="41"/>
        <v>210623.52000000002</v>
      </c>
      <c r="J545" s="89">
        <f t="shared" si="41"/>
        <v>46780.299999999996</v>
      </c>
      <c r="K545" s="89">
        <f t="shared" si="41"/>
        <v>0</v>
      </c>
      <c r="L545" s="89">
        <f t="shared" si="41"/>
        <v>33710034.810000002</v>
      </c>
      <c r="M545" s="8"/>
      <c r="N545" s="269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69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69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69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11283882.369999999</v>
      </c>
      <c r="G549" s="87">
        <f>L526</f>
        <v>2876532.72</v>
      </c>
      <c r="H549" s="87">
        <f>L531</f>
        <v>183678.58</v>
      </c>
      <c r="I549" s="87">
        <f>L536</f>
        <v>0</v>
      </c>
      <c r="J549" s="87">
        <f>L541</f>
        <v>1730406.57</v>
      </c>
      <c r="K549" s="87">
        <f>SUM(F549:J549)</f>
        <v>16074500.24</v>
      </c>
      <c r="L549" s="24" t="s">
        <v>289</v>
      </c>
      <c r="M549" s="8"/>
      <c r="N549" s="269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4605975.5599999996</v>
      </c>
      <c r="G550" s="87">
        <f>L527</f>
        <v>1272795.2900000003</v>
      </c>
      <c r="H550" s="87">
        <f>L532</f>
        <v>86493.05</v>
      </c>
      <c r="I550" s="87">
        <f>L537</f>
        <v>0</v>
      </c>
      <c r="J550" s="87">
        <f>L542</f>
        <v>588901.48</v>
      </c>
      <c r="K550" s="87">
        <f>SUM(F550:J550)</f>
        <v>6554165.379999999</v>
      </c>
      <c r="L550" s="24" t="s">
        <v>289</v>
      </c>
      <c r="M550" s="8"/>
      <c r="N550" s="269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8005656.8499999996</v>
      </c>
      <c r="G551" s="87">
        <f>L528</f>
        <v>2121628.9899999998</v>
      </c>
      <c r="H551" s="87">
        <f>L533</f>
        <v>144265.60000000001</v>
      </c>
      <c r="I551" s="87">
        <f>L538</f>
        <v>0</v>
      </c>
      <c r="J551" s="87">
        <f>L543</f>
        <v>809817.75</v>
      </c>
      <c r="K551" s="87">
        <f>SUM(F551:J551)</f>
        <v>11081369.189999999</v>
      </c>
      <c r="L551" s="24" t="s">
        <v>289</v>
      </c>
      <c r="M551" s="8"/>
      <c r="N551" s="269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23895514.780000001</v>
      </c>
      <c r="G552" s="89">
        <f t="shared" si="42"/>
        <v>6270957</v>
      </c>
      <c r="H552" s="89">
        <f t="shared" si="42"/>
        <v>414437.23</v>
      </c>
      <c r="I552" s="89">
        <f t="shared" si="42"/>
        <v>0</v>
      </c>
      <c r="J552" s="89">
        <f t="shared" si="42"/>
        <v>3129125.8</v>
      </c>
      <c r="K552" s="89">
        <f t="shared" si="42"/>
        <v>33710034.809999995</v>
      </c>
      <c r="L552" s="24"/>
      <c r="M552" s="8"/>
      <c r="N552" s="269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69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69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69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69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69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69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69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69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69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989060.1</v>
      </c>
      <c r="G562" s="18">
        <v>390889.15</v>
      </c>
      <c r="H562" s="18">
        <v>4815.34</v>
      </c>
      <c r="I562" s="18">
        <v>9308.98</v>
      </c>
      <c r="J562" s="18">
        <v>25788.34</v>
      </c>
      <c r="K562" s="18">
        <v>0</v>
      </c>
      <c r="L562" s="88">
        <f>SUM(F562:K562)</f>
        <v>1419861.9100000001</v>
      </c>
      <c r="M562" s="8"/>
      <c r="N562" s="269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305776.25</v>
      </c>
      <c r="G563" s="18">
        <v>129985.9</v>
      </c>
      <c r="H563" s="18">
        <v>1142.4000000000001</v>
      </c>
      <c r="I563" s="18">
        <v>2635.01</v>
      </c>
      <c r="J563" s="18">
        <v>6118.05</v>
      </c>
      <c r="K563" s="18">
        <v>0</v>
      </c>
      <c r="L563" s="88">
        <f>SUM(F563:K563)</f>
        <v>445657.61000000004</v>
      </c>
      <c r="M563" s="8"/>
      <c r="N563" s="269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327816.74</v>
      </c>
      <c r="G564" s="18">
        <v>122212.64</v>
      </c>
      <c r="H564" s="18">
        <v>1787.43</v>
      </c>
      <c r="I564" s="18">
        <v>2544.42</v>
      </c>
      <c r="J564" s="18">
        <v>7976.6</v>
      </c>
      <c r="K564" s="18">
        <v>0</v>
      </c>
      <c r="L564" s="88">
        <f>SUM(F564:K564)</f>
        <v>462337.82999999996</v>
      </c>
      <c r="M564" s="8"/>
      <c r="N564" s="269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1622653.09</v>
      </c>
      <c r="G565" s="89">
        <f t="shared" si="44"/>
        <v>643087.69000000006</v>
      </c>
      <c r="H565" s="89">
        <f t="shared" si="44"/>
        <v>7745.17</v>
      </c>
      <c r="I565" s="89">
        <f t="shared" si="44"/>
        <v>14488.41</v>
      </c>
      <c r="J565" s="89">
        <f t="shared" si="44"/>
        <v>39882.99</v>
      </c>
      <c r="K565" s="89">
        <f t="shared" si="44"/>
        <v>0</v>
      </c>
      <c r="L565" s="89">
        <f t="shared" si="44"/>
        <v>2327857.35</v>
      </c>
      <c r="M565" s="8"/>
      <c r="N565" s="269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69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69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69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69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69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1622653.09</v>
      </c>
      <c r="G571" s="89">
        <f t="shared" ref="G571:L571" si="46">G560+G565+G570</f>
        <v>643087.69000000006</v>
      </c>
      <c r="H571" s="89">
        <f t="shared" si="46"/>
        <v>7745.17</v>
      </c>
      <c r="I571" s="89">
        <f t="shared" si="46"/>
        <v>14488.41</v>
      </c>
      <c r="J571" s="89">
        <f t="shared" si="46"/>
        <v>39882.99</v>
      </c>
      <c r="K571" s="89">
        <f t="shared" si="46"/>
        <v>0</v>
      </c>
      <c r="L571" s="89">
        <f t="shared" si="46"/>
        <v>2327857.35</v>
      </c>
      <c r="M571" s="8"/>
      <c r="N571" s="269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69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110138.4</v>
      </c>
      <c r="G579" s="18">
        <v>0</v>
      </c>
      <c r="H579" s="18">
        <v>26884.78</v>
      </c>
      <c r="I579" s="87">
        <f t="shared" si="47"/>
        <v>137023.18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60407.07</v>
      </c>
      <c r="I580" s="87">
        <f t="shared" si="47"/>
        <v>60407.07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489217.47</v>
      </c>
      <c r="G582" s="18">
        <v>683423.86</v>
      </c>
      <c r="H582" s="18">
        <v>2665416.1800000006</v>
      </c>
      <c r="I582" s="87">
        <f t="shared" si="47"/>
        <v>3838057.5100000007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55197.86</v>
      </c>
      <c r="I583" s="87">
        <f t="shared" si="47"/>
        <v>55197.86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69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69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69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1086434.18</v>
      </c>
      <c r="I591" s="18">
        <v>695304.21</v>
      </c>
      <c r="J591" s="18">
        <v>726025.56</v>
      </c>
      <c r="K591" s="104">
        <f t="shared" ref="K591:K597" si="48">SUM(H591:J591)</f>
        <v>2507763.9500000002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1730406.57</v>
      </c>
      <c r="I592" s="18">
        <v>588901.48</v>
      </c>
      <c r="J592" s="18">
        <v>809817.75</v>
      </c>
      <c r="K592" s="104">
        <f t="shared" si="48"/>
        <v>3129125.8</v>
      </c>
      <c r="L592" s="24" t="s">
        <v>289</v>
      </c>
      <c r="M592" s="8"/>
      <c r="N592" s="269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24919</v>
      </c>
      <c r="K593" s="104">
        <f t="shared" si="48"/>
        <v>24919</v>
      </c>
      <c r="L593" s="24" t="s">
        <v>289</v>
      </c>
      <c r="M593" s="8"/>
      <c r="N593" s="269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29168.06</v>
      </c>
      <c r="J594" s="18">
        <v>173191.28</v>
      </c>
      <c r="K594" s="104">
        <f t="shared" si="48"/>
        <v>202359.34</v>
      </c>
      <c r="L594" s="24" t="s">
        <v>289</v>
      </c>
      <c r="M594" s="8"/>
      <c r="N594" s="269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v>7093.48</v>
      </c>
      <c r="K595" s="104">
        <f t="shared" si="48"/>
        <v>7093.48</v>
      </c>
      <c r="L595" s="24" t="s">
        <v>289</v>
      </c>
      <c r="M595" s="8"/>
      <c r="N595" s="269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69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69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2816840.75</v>
      </c>
      <c r="I598" s="108">
        <f>SUM(I591:I597)</f>
        <v>1313373.75</v>
      </c>
      <c r="J598" s="108">
        <f>SUM(J591:J597)</f>
        <v>1741047.07</v>
      </c>
      <c r="K598" s="108">
        <f>SUM(K591:K597)</f>
        <v>5871261.5700000003</v>
      </c>
      <c r="L598" s="24" t="s">
        <v>289</v>
      </c>
      <c r="M598" s="8"/>
      <c r="N598" s="269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69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69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69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69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569522.84</v>
      </c>
      <c r="I604" s="18">
        <v>371939.49</v>
      </c>
      <c r="J604" s="18">
        <v>790010.12</v>
      </c>
      <c r="K604" s="104">
        <f>SUM(H604:J604)</f>
        <v>1731472.45</v>
      </c>
      <c r="L604" s="24" t="s">
        <v>289</v>
      </c>
      <c r="M604" s="8"/>
      <c r="N604" s="269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569522.84</v>
      </c>
      <c r="I605" s="108">
        <f>SUM(I602:I604)</f>
        <v>371939.49</v>
      </c>
      <c r="J605" s="108">
        <f>SUM(J602:J604)</f>
        <v>790010.12</v>
      </c>
      <c r="K605" s="108">
        <f>SUM(K602:K604)</f>
        <v>1731472.45</v>
      </c>
      <c r="L605" s="24" t="s">
        <v>289</v>
      </c>
      <c r="M605" s="8"/>
      <c r="N605" s="269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69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69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69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61219.76</v>
      </c>
      <c r="G611" s="18">
        <v>3259.37</v>
      </c>
      <c r="H611" s="18">
        <v>10647.67</v>
      </c>
      <c r="I611" s="18">
        <v>8706.76</v>
      </c>
      <c r="J611" s="18"/>
      <c r="K611" s="18"/>
      <c r="L611" s="88">
        <f>SUM(F611:K611)</f>
        <v>83833.56</v>
      </c>
      <c r="M611" s="8"/>
      <c r="N611" s="269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31661.23</v>
      </c>
      <c r="G612" s="18">
        <v>2112.73</v>
      </c>
      <c r="H612" s="18">
        <v>2313.21</v>
      </c>
      <c r="I612" s="18">
        <v>4749.22</v>
      </c>
      <c r="J612" s="18"/>
      <c r="K612" s="18"/>
      <c r="L612" s="88">
        <f>SUM(F612:K612)</f>
        <v>40836.39</v>
      </c>
      <c r="M612" s="8"/>
      <c r="N612" s="269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59377.66</v>
      </c>
      <c r="G613" s="18">
        <v>3161.29</v>
      </c>
      <c r="H613" s="18">
        <v>10327.280000000001</v>
      </c>
      <c r="I613" s="18">
        <v>8444.77</v>
      </c>
      <c r="J613" s="18"/>
      <c r="K613" s="18"/>
      <c r="L613" s="88">
        <f>SUM(F613:K613)</f>
        <v>81311.000000000015</v>
      </c>
      <c r="M613" s="8"/>
      <c r="N613" s="269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152258.65000000002</v>
      </c>
      <c r="G614" s="108">
        <f t="shared" si="49"/>
        <v>8533.39</v>
      </c>
      <c r="H614" s="108">
        <f t="shared" si="49"/>
        <v>23288.160000000003</v>
      </c>
      <c r="I614" s="108">
        <f t="shared" si="49"/>
        <v>21900.75</v>
      </c>
      <c r="J614" s="108">
        <f t="shared" si="49"/>
        <v>0</v>
      </c>
      <c r="K614" s="108">
        <f t="shared" si="49"/>
        <v>0</v>
      </c>
      <c r="L614" s="89">
        <f t="shared" si="49"/>
        <v>205980.95</v>
      </c>
      <c r="M614" s="8"/>
      <c r="N614" s="269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0</v>
      </c>
      <c r="H617" s="109">
        <f>SUM(F52)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553029.52</v>
      </c>
      <c r="H618" s="109">
        <f>SUM(G52)</f>
        <v>553029.52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2912539.5</v>
      </c>
      <c r="H619" s="109">
        <f>SUM(H52)</f>
        <v>2912539.5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826875.15</v>
      </c>
      <c r="H620" s="109">
        <f>SUM(I52)</f>
        <v>826875.14999999944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9119592.0699999984</v>
      </c>
      <c r="H621" s="109">
        <f>SUM(J52)</f>
        <v>9119592.0700000003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549743.86</v>
      </c>
      <c r="H623" s="109">
        <f>G476</f>
        <v>549743.86000000034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1027289.23</v>
      </c>
      <c r="H624" s="109">
        <f>H476</f>
        <v>1027289.2300000004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826725.14999999944</v>
      </c>
      <c r="H625" s="109">
        <f>I476</f>
        <v>826725.15000000037</v>
      </c>
      <c r="I625" s="121" t="s">
        <v>104</v>
      </c>
      <c r="J625" s="109">
        <f t="shared" si="50"/>
        <v>-9.3132257461547852E-10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8986960.1699999999</v>
      </c>
      <c r="H626" s="109">
        <f>J476</f>
        <v>8986960.1699999981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147045674.41999999</v>
      </c>
      <c r="H627" s="104">
        <f>SUM(F468)</f>
        <v>147045674.41999999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4978909.66</v>
      </c>
      <c r="H628" s="104">
        <f>SUM(G468)</f>
        <v>4978909.66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9180199.7999999989</v>
      </c>
      <c r="H629" s="104">
        <f>SUM(H468)</f>
        <v>9180199.8000000007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9440250</v>
      </c>
      <c r="H630" s="104">
        <f>SUM(I468)</f>
        <v>9440250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673932.19000000006</v>
      </c>
      <c r="H631" s="104">
        <f>SUM(J468)</f>
        <v>673932.19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147045674.42000002</v>
      </c>
      <c r="H632" s="104">
        <f>SUM(F472)</f>
        <v>147045674.41999999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9544795.1400000006</v>
      </c>
      <c r="H633" s="104">
        <f>SUM(H472)</f>
        <v>9544795.1400000006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2337399.4</v>
      </c>
      <c r="H634" s="104">
        <f>I369</f>
        <v>2337399.4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4876209.76</v>
      </c>
      <c r="H635" s="104">
        <f>SUM(G472)</f>
        <v>4876209.76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7761727.3299999991</v>
      </c>
      <c r="H636" s="104">
        <f>SUM(I472)</f>
        <v>7761727.3300000001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673932.19</v>
      </c>
      <c r="H637" s="164">
        <f>SUM(J468)</f>
        <v>673932.19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1223741.3</v>
      </c>
      <c r="H638" s="164">
        <f>SUM(J472)</f>
        <v>1223741.3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2320234.5700000003</v>
      </c>
      <c r="H639" s="104">
        <f>SUM(F461)</f>
        <v>2320234.5699999998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1217259.6300000001</v>
      </c>
      <c r="H640" s="104">
        <f>SUM(G461)</f>
        <v>1217259.6299999999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5582097.8699999992</v>
      </c>
      <c r="H641" s="104">
        <f>SUM(H461)</f>
        <v>5582097.8699999992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9119592.0699999984</v>
      </c>
      <c r="H642" s="104">
        <f>SUM(I461)</f>
        <v>9119592.0700000003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253873.15</v>
      </c>
      <c r="H644" s="104">
        <f>H408</f>
        <v>253873.15000000002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53445.27</v>
      </c>
      <c r="H645" s="104">
        <f>G408</f>
        <v>53445.27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673932.19000000006</v>
      </c>
      <c r="H646" s="104">
        <f>L408</f>
        <v>673932.19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5871261.5700000003</v>
      </c>
      <c r="H647" s="104">
        <f>L208+L226+L244</f>
        <v>5871261.5699999994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1731472.45</v>
      </c>
      <c r="H648" s="104">
        <f>(J257+J338)-(J255+J336)</f>
        <v>1731472.4499999997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2816840.7499999995</v>
      </c>
      <c r="H649" s="104">
        <f>H598</f>
        <v>2816840.75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1313373.75</v>
      </c>
      <c r="H650" s="104">
        <f>I598</f>
        <v>1313373.75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1741047.07</v>
      </c>
      <c r="H651" s="104">
        <f>J598</f>
        <v>1741047.07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68508018.420000002</v>
      </c>
      <c r="G660" s="19">
        <f>(L229+L309+L359)</f>
        <v>32795185.759999998</v>
      </c>
      <c r="H660" s="19">
        <f>(L247+L328+L360)</f>
        <v>47927108.490000002</v>
      </c>
      <c r="I660" s="19">
        <f>SUM(F660:H660)</f>
        <v>149230312.67000002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831063.23168379383</v>
      </c>
      <c r="G661" s="19">
        <f>(L359/IF(SUM(L358:L360)=0,1,SUM(L358:L360))*(SUM(G97:G110)))</f>
        <v>465411.63916601718</v>
      </c>
      <c r="H661" s="19">
        <f>(L360/IF(SUM(L358:L360)=0,1,SUM(L358:L360))*(SUM(G97:G110)))</f>
        <v>642936.55915018893</v>
      </c>
      <c r="I661" s="19">
        <f>SUM(F661:H661)</f>
        <v>1939411.43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3027925.9899999993</v>
      </c>
      <c r="G662" s="19">
        <f>(L226+L306)-(J226+J306)</f>
        <v>1385211.44</v>
      </c>
      <c r="H662" s="19">
        <f>(L244+L325)-(J244+J325)</f>
        <v>1849020.53</v>
      </c>
      <c r="I662" s="19">
        <f>SUM(F662:H662)</f>
        <v>6262157.96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1252712.27</v>
      </c>
      <c r="G663" s="199">
        <f>SUM(G575:G587)+SUM(I602:I604)+L612</f>
        <v>1096199.74</v>
      </c>
      <c r="H663" s="199">
        <f>SUM(H575:H587)+SUM(J602:J604)+L613</f>
        <v>3679227.0100000007</v>
      </c>
      <c r="I663" s="19">
        <f>SUM(F663:H663)</f>
        <v>6028139.0200000005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63396316.928316206</v>
      </c>
      <c r="G664" s="19">
        <f>G660-SUM(G661:G663)</f>
        <v>29848362.940833982</v>
      </c>
      <c r="H664" s="19">
        <f>H660-SUM(H661:H663)</f>
        <v>41755924.390849814</v>
      </c>
      <c r="I664" s="19">
        <f>I660-SUM(I661:I663)</f>
        <v>135000604.26000002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5168.28</v>
      </c>
      <c r="G665" s="247">
        <v>2420.56</v>
      </c>
      <c r="H665" s="247">
        <v>3532.28</v>
      </c>
      <c r="I665" s="19">
        <f>SUM(F665:H665)</f>
        <v>11121.12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12266.42</v>
      </c>
      <c r="G667" s="19">
        <f>ROUND(G664/G665,2)</f>
        <v>12331.18</v>
      </c>
      <c r="H667" s="19">
        <f>ROUND(H664/H665,2)</f>
        <v>11821.24</v>
      </c>
      <c r="I667" s="19">
        <f>ROUND(I664/I665,2)</f>
        <v>12139.12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20.61</v>
      </c>
      <c r="I670" s="19">
        <f>SUM(F670:H670)</f>
        <v>20.61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12266.42</v>
      </c>
      <c r="G672" s="19">
        <f>ROUND((G664+G669)/(G665+G670),2)</f>
        <v>12331.18</v>
      </c>
      <c r="H672" s="19">
        <f>ROUND((H664+H669)/(H665+H670),2)</f>
        <v>11752.66</v>
      </c>
      <c r="I672" s="19">
        <f>ROUND((I664+I669)/(I665+I670),2)</f>
        <v>12116.66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Nashua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4" t="s">
        <v>784</v>
      </c>
      <c r="B3" s="274"/>
      <c r="C3" s="274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3" t="s">
        <v>783</v>
      </c>
      <c r="C6" s="273"/>
    </row>
    <row r="7" spans="1:3" x14ac:dyDescent="0.2">
      <c r="A7" s="239" t="s">
        <v>786</v>
      </c>
      <c r="B7" s="271" t="s">
        <v>782</v>
      </c>
      <c r="C7" s="272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38548209.139999993</v>
      </c>
      <c r="C9" s="229">
        <f>'DOE25'!G197+'DOE25'!G215+'DOE25'!G233+'DOE25'!G276+'DOE25'!G295+'DOE25'!G314</f>
        <v>16293017.310000001</v>
      </c>
    </row>
    <row r="10" spans="1:3" x14ac:dyDescent="0.2">
      <c r="A10" t="s">
        <v>779</v>
      </c>
      <c r="B10" s="240">
        <v>36809040.840000004</v>
      </c>
      <c r="C10" s="240">
        <v>15557930.01</v>
      </c>
    </row>
    <row r="11" spans="1:3" x14ac:dyDescent="0.2">
      <c r="A11" t="s">
        <v>780</v>
      </c>
      <c r="B11" s="240">
        <v>895463.91</v>
      </c>
      <c r="C11" s="240">
        <v>378482.15</v>
      </c>
    </row>
    <row r="12" spans="1:3" x14ac:dyDescent="0.2">
      <c r="A12" t="s">
        <v>781</v>
      </c>
      <c r="B12" s="240">
        <v>843704.39</v>
      </c>
      <c r="C12" s="240">
        <v>356605.15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38548209.140000001</v>
      </c>
      <c r="C13" s="231">
        <f>SUM(C10:C12)</f>
        <v>16293017.310000001</v>
      </c>
    </row>
    <row r="14" spans="1:3" x14ac:dyDescent="0.2">
      <c r="B14" s="230"/>
      <c r="C14" s="230"/>
    </row>
    <row r="15" spans="1:3" x14ac:dyDescent="0.2">
      <c r="B15" s="273" t="s">
        <v>783</v>
      </c>
      <c r="C15" s="273"/>
    </row>
    <row r="16" spans="1:3" x14ac:dyDescent="0.2">
      <c r="A16" s="239" t="s">
        <v>787</v>
      </c>
      <c r="B16" s="271" t="s">
        <v>707</v>
      </c>
      <c r="C16" s="272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17403817.079999998</v>
      </c>
      <c r="C18" s="229">
        <f>'DOE25'!G198+'DOE25'!G216+'DOE25'!G234+'DOE25'!G277+'DOE25'!G296+'DOE25'!G315</f>
        <v>5537115.0899999999</v>
      </c>
    </row>
    <row r="19" spans="1:3" x14ac:dyDescent="0.2">
      <c r="A19" t="s">
        <v>779</v>
      </c>
      <c r="B19" s="240">
        <v>10050740.83</v>
      </c>
      <c r="C19" s="240">
        <v>3197695.57</v>
      </c>
    </row>
    <row r="20" spans="1:3" x14ac:dyDescent="0.2">
      <c r="A20" t="s">
        <v>780</v>
      </c>
      <c r="B20" s="240">
        <v>6595959.71</v>
      </c>
      <c r="C20" s="240">
        <v>2098538.9500000002</v>
      </c>
    </row>
    <row r="21" spans="1:3" x14ac:dyDescent="0.2">
      <c r="A21" t="s">
        <v>781</v>
      </c>
      <c r="B21" s="240">
        <v>757116.54</v>
      </c>
      <c r="C21" s="240">
        <v>240880.57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17403817.079999998</v>
      </c>
      <c r="C22" s="231">
        <f>SUM(C19:C21)</f>
        <v>5537115.0899999999</v>
      </c>
    </row>
    <row r="23" spans="1:3" x14ac:dyDescent="0.2">
      <c r="B23" s="230"/>
      <c r="C23" s="230"/>
    </row>
    <row r="24" spans="1:3" x14ac:dyDescent="0.2">
      <c r="B24" s="273" t="s">
        <v>783</v>
      </c>
      <c r="C24" s="273"/>
    </row>
    <row r="25" spans="1:3" x14ac:dyDescent="0.2">
      <c r="A25" s="239" t="s">
        <v>788</v>
      </c>
      <c r="B25" s="271" t="s">
        <v>708</v>
      </c>
      <c r="C25" s="272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3447778.7600000002</v>
      </c>
      <c r="C27" s="234">
        <f>'DOE25'!G199+'DOE25'!G217+'DOE25'!G235+'DOE25'!G278+'DOE25'!G297+'DOE25'!G316</f>
        <v>1458004.21</v>
      </c>
    </row>
    <row r="28" spans="1:3" x14ac:dyDescent="0.2">
      <c r="A28" t="s">
        <v>779</v>
      </c>
      <c r="B28" s="240">
        <v>3306316.44</v>
      </c>
      <c r="C28" s="240">
        <v>1398182.32</v>
      </c>
    </row>
    <row r="29" spans="1:3" x14ac:dyDescent="0.2">
      <c r="A29" t="s">
        <v>780</v>
      </c>
      <c r="B29" s="240">
        <v>48602.239999999998</v>
      </c>
      <c r="C29" s="240">
        <v>20553.02</v>
      </c>
    </row>
    <row r="30" spans="1:3" x14ac:dyDescent="0.2">
      <c r="A30" t="s">
        <v>781</v>
      </c>
      <c r="B30" s="240">
        <v>92860.08</v>
      </c>
      <c r="C30" s="240">
        <v>39268.870000000003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3447778.7600000002</v>
      </c>
      <c r="C31" s="231">
        <f>SUM(C28:C30)</f>
        <v>1458004.2100000002</v>
      </c>
    </row>
    <row r="33" spans="1:3" x14ac:dyDescent="0.2">
      <c r="B33" s="273" t="s">
        <v>783</v>
      </c>
      <c r="C33" s="273"/>
    </row>
    <row r="34" spans="1:3" x14ac:dyDescent="0.2">
      <c r="A34" s="239" t="s">
        <v>789</v>
      </c>
      <c r="B34" s="271" t="s">
        <v>709</v>
      </c>
      <c r="C34" s="272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1097837.3500000001</v>
      </c>
      <c r="C36" s="235">
        <f>'DOE25'!G200+'DOE25'!G218+'DOE25'!G236+'DOE25'!G279+'DOE25'!G298+'DOE25'!G317</f>
        <v>137232.68</v>
      </c>
    </row>
    <row r="37" spans="1:3" x14ac:dyDescent="0.2">
      <c r="A37" t="s">
        <v>779</v>
      </c>
      <c r="B37" s="240">
        <v>374945.27</v>
      </c>
      <c r="C37" s="240">
        <v>46869.19</v>
      </c>
    </row>
    <row r="38" spans="1:3" x14ac:dyDescent="0.2">
      <c r="A38" t="s">
        <v>780</v>
      </c>
      <c r="B38" s="240">
        <v>100479.27</v>
      </c>
      <c r="C38" s="240">
        <v>12560.18</v>
      </c>
    </row>
    <row r="39" spans="1:3" x14ac:dyDescent="0.2">
      <c r="A39" t="s">
        <v>781</v>
      </c>
      <c r="B39" s="240">
        <v>622412.81000000006</v>
      </c>
      <c r="C39" s="240">
        <v>77803.31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1097837.3500000001</v>
      </c>
      <c r="C40" s="231">
        <f>SUM(C37:C39)</f>
        <v>137232.68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4" t="str">
        <f>'DOE25'!A2</f>
        <v>Nashua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85112505.879999995</v>
      </c>
      <c r="D5" s="20">
        <f>SUM('DOE25'!L197:L200)+SUM('DOE25'!L215:L218)+SUM('DOE25'!L233:L236)-F5-G5</f>
        <v>85057101.629999995</v>
      </c>
      <c r="E5" s="243"/>
      <c r="F5" s="254">
        <f>SUM('DOE25'!J197:J200)+SUM('DOE25'!J215:J218)+SUM('DOE25'!J233:J236)</f>
        <v>210153.09</v>
      </c>
      <c r="G5" s="53">
        <f>SUM('DOE25'!K197:K200)+SUM('DOE25'!K215:K218)+SUM('DOE25'!K233:K236)</f>
        <v>-154748.84</v>
      </c>
      <c r="H5" s="258"/>
    </row>
    <row r="6" spans="1:9" x14ac:dyDescent="0.2">
      <c r="A6" s="32">
        <v>2100</v>
      </c>
      <c r="B6" t="s">
        <v>801</v>
      </c>
      <c r="C6" s="245">
        <f t="shared" si="0"/>
        <v>12569723.960000001</v>
      </c>
      <c r="D6" s="20">
        <f>'DOE25'!L202+'DOE25'!L220+'DOE25'!L238-F6-G6</f>
        <v>12569723.960000001</v>
      </c>
      <c r="E6" s="243"/>
      <c r="F6" s="254">
        <f>'DOE25'!J202+'DOE25'!J220+'DOE25'!J238</f>
        <v>0</v>
      </c>
      <c r="G6" s="53">
        <f>'DOE25'!K202+'DOE25'!K220+'DOE25'!K238</f>
        <v>0</v>
      </c>
      <c r="H6" s="258"/>
    </row>
    <row r="7" spans="1:9" x14ac:dyDescent="0.2">
      <c r="A7" s="32">
        <v>2200</v>
      </c>
      <c r="B7" t="s">
        <v>834</v>
      </c>
      <c r="C7" s="245">
        <f t="shared" si="0"/>
        <v>5132075.75</v>
      </c>
      <c r="D7" s="20">
        <f>'DOE25'!L203+'DOE25'!L221+'DOE25'!L239-F7-G7</f>
        <v>3960026.81</v>
      </c>
      <c r="E7" s="243"/>
      <c r="F7" s="254">
        <f>'DOE25'!J203+'DOE25'!J221+'DOE25'!J239</f>
        <v>1172048.94</v>
      </c>
      <c r="G7" s="53">
        <f>'DOE25'!K203+'DOE25'!K221+'DOE25'!K239</f>
        <v>0</v>
      </c>
      <c r="H7" s="258"/>
    </row>
    <row r="8" spans="1:9" x14ac:dyDescent="0.2">
      <c r="A8" s="32">
        <v>2300</v>
      </c>
      <c r="B8" t="s">
        <v>802</v>
      </c>
      <c r="C8" s="245">
        <f t="shared" si="0"/>
        <v>2786468.6</v>
      </c>
      <c r="D8" s="243"/>
      <c r="E8" s="20">
        <f>'DOE25'!L204+'DOE25'!L222+'DOE25'!L240-F8-G8-D9-D11</f>
        <v>2703971.5500000003</v>
      </c>
      <c r="F8" s="254">
        <f>'DOE25'!J204+'DOE25'!J222+'DOE25'!J240</f>
        <v>1211.07</v>
      </c>
      <c r="G8" s="53">
        <f>'DOE25'!K204+'DOE25'!K222+'DOE25'!K240</f>
        <v>81285.98</v>
      </c>
      <c r="H8" s="258"/>
    </row>
    <row r="9" spans="1:9" x14ac:dyDescent="0.2">
      <c r="A9" s="32">
        <v>2310</v>
      </c>
      <c r="B9" t="s">
        <v>818</v>
      </c>
      <c r="C9" s="245">
        <f t="shared" si="0"/>
        <v>79985.710000000006</v>
      </c>
      <c r="D9" s="244">
        <v>79985.710000000006</v>
      </c>
      <c r="E9" s="243"/>
      <c r="F9" s="257"/>
      <c r="G9" s="255"/>
      <c r="H9" s="258"/>
    </row>
    <row r="10" spans="1:9" x14ac:dyDescent="0.2">
      <c r="A10" s="32">
        <v>2317</v>
      </c>
      <c r="B10" t="s">
        <v>819</v>
      </c>
      <c r="C10" s="245">
        <f t="shared" si="0"/>
        <v>20625</v>
      </c>
      <c r="D10" s="243"/>
      <c r="E10" s="244">
        <v>20625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5">
        <f t="shared" si="0"/>
        <v>563747.59</v>
      </c>
      <c r="D11" s="244">
        <v>563747.59</v>
      </c>
      <c r="E11" s="243"/>
      <c r="F11" s="257"/>
      <c r="G11" s="255"/>
      <c r="H11" s="258"/>
    </row>
    <row r="12" spans="1:9" x14ac:dyDescent="0.2">
      <c r="A12" s="32">
        <v>2400</v>
      </c>
      <c r="B12" t="s">
        <v>715</v>
      </c>
      <c r="C12" s="245">
        <f t="shared" si="0"/>
        <v>7155117.6900000004</v>
      </c>
      <c r="D12" s="20">
        <f>'DOE25'!L205+'DOE25'!L223+'DOE25'!L241-F12-G12</f>
        <v>7151419.5700000003</v>
      </c>
      <c r="E12" s="243"/>
      <c r="F12" s="254">
        <f>'DOE25'!J205+'DOE25'!J223+'DOE25'!J241</f>
        <v>3698.12</v>
      </c>
      <c r="G12" s="53">
        <f>'DOE25'!K205+'DOE25'!K223+'DOE25'!K241</f>
        <v>0</v>
      </c>
      <c r="H12" s="258"/>
    </row>
    <row r="13" spans="1:9" x14ac:dyDescent="0.2">
      <c r="A13" s="32">
        <v>2500</v>
      </c>
      <c r="B13" t="s">
        <v>803</v>
      </c>
      <c r="C13" s="245">
        <f t="shared" si="0"/>
        <v>1008005.9800000001</v>
      </c>
      <c r="D13" s="243"/>
      <c r="E13" s="20">
        <f>'DOE25'!L206+'DOE25'!L224+'DOE25'!L242-F13-G13</f>
        <v>1008005.9800000001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832</v>
      </c>
      <c r="C14" s="245">
        <f t="shared" si="0"/>
        <v>14140446.160000002</v>
      </c>
      <c r="D14" s="20">
        <f>'DOE25'!L207+'DOE25'!L225+'DOE25'!L243-F14-G14</f>
        <v>14231051.490000002</v>
      </c>
      <c r="E14" s="243"/>
      <c r="F14" s="254">
        <f>'DOE25'!J207+'DOE25'!J225+'DOE25'!J243</f>
        <v>22948.04</v>
      </c>
      <c r="G14" s="53">
        <f>'DOE25'!K207+'DOE25'!K225+'DOE25'!K243</f>
        <v>-113553.37</v>
      </c>
      <c r="H14" s="258"/>
    </row>
    <row r="15" spans="1:9" x14ac:dyDescent="0.2">
      <c r="A15" s="32">
        <v>2700</v>
      </c>
      <c r="B15" t="s">
        <v>804</v>
      </c>
      <c r="C15" s="245">
        <f t="shared" si="0"/>
        <v>5871261.5699999994</v>
      </c>
      <c r="D15" s="20">
        <f>'DOE25'!L208+'DOE25'!L226+'DOE25'!L244-F15-G15</f>
        <v>5871261.5699999994</v>
      </c>
      <c r="E15" s="243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5">
        <f t="shared" si="0"/>
        <v>570383.92999999993</v>
      </c>
      <c r="D16" s="243"/>
      <c r="E16" s="20">
        <f>'DOE25'!L209+'DOE25'!L227+'DOE25'!L245-F16-G16</f>
        <v>570383.92999999993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5">
        <f t="shared" si="0"/>
        <v>129207.98999999999</v>
      </c>
      <c r="D17" s="20">
        <f>'DOE25'!L251-F17-G17</f>
        <v>129207.98999999999</v>
      </c>
      <c r="E17" s="243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5">
        <f>SUM(D22:H22)</f>
        <v>102529</v>
      </c>
      <c r="D22" s="243"/>
      <c r="E22" s="243"/>
      <c r="F22" s="254">
        <f>'DOE25'!L255+'DOE25'!L336</f>
        <v>102529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5">
        <f>SUM(D25:H25)</f>
        <v>11824214.609999999</v>
      </c>
      <c r="D25" s="243"/>
      <c r="E25" s="243"/>
      <c r="F25" s="257"/>
      <c r="G25" s="255"/>
      <c r="H25" s="256">
        <f>'DOE25'!L260+'DOE25'!L261+'DOE25'!L341+'DOE25'!L342</f>
        <v>11824214.609999999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5">
        <f>SUM(D29:H29)</f>
        <v>2787425.4399999995</v>
      </c>
      <c r="D29" s="20">
        <f>'DOE25'!L358+'DOE25'!L359+'DOE25'!L360-'DOE25'!I367-F29-G29</f>
        <v>2719560.1199999996</v>
      </c>
      <c r="E29" s="243"/>
      <c r="F29" s="254">
        <f>'DOE25'!J358+'DOE25'!J359+'DOE25'!J360</f>
        <v>67865.320000000007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3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5">
        <f>SUM(D31:H31)</f>
        <v>9528335.6799999997</v>
      </c>
      <c r="D31" s="20">
        <f>'DOE25'!L290+'DOE25'!L309+'DOE25'!L328+'DOE25'!L333+'DOE25'!L334+'DOE25'!L335-F31-G31</f>
        <v>8770158.0099999998</v>
      </c>
      <c r="E31" s="243"/>
      <c r="F31" s="254">
        <f>'DOE25'!J290+'DOE25'!J309+'DOE25'!J328+'DOE25'!J333+'DOE25'!J334+'DOE25'!J335</f>
        <v>321413.19</v>
      </c>
      <c r="G31" s="53">
        <f>'DOE25'!K290+'DOE25'!K309+'DOE25'!K328+'DOE25'!K333+'DOE25'!K334+'DOE25'!K335</f>
        <v>436764.48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6">
        <f>SUM(D5:D31)</f>
        <v>141103244.45000002</v>
      </c>
      <c r="E33" s="246">
        <f>SUM(E5:E31)</f>
        <v>4302986.46</v>
      </c>
      <c r="F33" s="246">
        <f>SUM(F5:F31)</f>
        <v>1901866.7700000003</v>
      </c>
      <c r="G33" s="246">
        <f>SUM(G5:G31)</f>
        <v>249748.25</v>
      </c>
      <c r="H33" s="246">
        <f>SUM(H5:H31)</f>
        <v>11824214.609999999</v>
      </c>
    </row>
    <row r="35" spans="2:8" ht="12" thickBot="1" x14ac:dyDescent="0.25">
      <c r="B35" s="252" t="s">
        <v>847</v>
      </c>
      <c r="D35" s="253">
        <f>E33</f>
        <v>4302986.46</v>
      </c>
      <c r="E35" s="248"/>
    </row>
    <row r="36" spans="2:8" ht="12" thickTop="1" x14ac:dyDescent="0.2">
      <c r="B36" t="s">
        <v>815</v>
      </c>
      <c r="D36" s="20">
        <f>D33</f>
        <v>141103244.45000002</v>
      </c>
    </row>
    <row r="38" spans="2:8" x14ac:dyDescent="0.2">
      <c r="B38" s="187" t="s">
        <v>907</v>
      </c>
      <c r="C38" s="265"/>
      <c r="D38" s="266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Nashua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3506905.68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5509459.5199999996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339400.38</v>
      </c>
      <c r="E11" s="95">
        <f>'DOE25'!H12</f>
        <v>0</v>
      </c>
      <c r="F11" s="95">
        <f>'DOE25'!I12</f>
        <v>826875.15</v>
      </c>
      <c r="G11" s="95">
        <f>'DOE25'!J12</f>
        <v>103226.87000000001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213629.14</v>
      </c>
      <c r="E12" s="95">
        <f>'DOE25'!H13</f>
        <v>2896464.5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16075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553029.52</v>
      </c>
      <c r="E18" s="41">
        <f>SUM(E8:E17)</f>
        <v>2912539.5</v>
      </c>
      <c r="F18" s="41">
        <f>SUM(F8:F17)</f>
        <v>826875.15</v>
      </c>
      <c r="G18" s="41">
        <f>SUM(G8:G17)</f>
        <v>9119592.0699999984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1328573.74</v>
      </c>
      <c r="F21" s="95">
        <f>'DOE25'!I22</f>
        <v>0</v>
      </c>
      <c r="G21" s="95">
        <f>'DOE25'!J22</f>
        <v>130420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3285.66</v>
      </c>
      <c r="E23" s="95">
        <f>'DOE25'!H24</f>
        <v>325666.69</v>
      </c>
      <c r="F23" s="95">
        <f>'DOE25'!I24</f>
        <v>150</v>
      </c>
      <c r="G23" s="95">
        <f>'DOE25'!J24</f>
        <v>2211.9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231009.84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3285.66</v>
      </c>
      <c r="E31" s="41">
        <f>SUM(E21:E30)</f>
        <v>1885250.27</v>
      </c>
      <c r="F31" s="41">
        <f>SUM(F21:F30)</f>
        <v>150</v>
      </c>
      <c r="G31" s="41">
        <f>SUM(G21:G30)</f>
        <v>132631.9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5051107.6399999997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400570.23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549181.22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850481.68</v>
      </c>
      <c r="F47" s="95">
        <f>'DOE25'!I48</f>
        <v>-7418607.4800000004</v>
      </c>
      <c r="G47" s="95">
        <f>'DOE25'!J48</f>
        <v>3529328.08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562.64</v>
      </c>
      <c r="E48" s="95">
        <f>'DOE25'!H49</f>
        <v>176807.55</v>
      </c>
      <c r="F48" s="95">
        <f>'DOE25'!I49</f>
        <v>8245332.6299999999</v>
      </c>
      <c r="G48" s="95">
        <f>'DOE25'!J49</f>
        <v>5954.22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0</v>
      </c>
      <c r="D50" s="41">
        <f>SUM(D34:D49)</f>
        <v>549743.86</v>
      </c>
      <c r="E50" s="41">
        <f>SUM(E34:E49)</f>
        <v>1027289.23</v>
      </c>
      <c r="F50" s="41">
        <f>SUM(F34:F49)</f>
        <v>826725.14999999944</v>
      </c>
      <c r="G50" s="41">
        <f>SUM(G34:G49)</f>
        <v>8986960.1699999999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0</v>
      </c>
      <c r="D51" s="41">
        <f>D50+D31</f>
        <v>553029.52</v>
      </c>
      <c r="E51" s="41">
        <f>E50+E31</f>
        <v>2912539.5</v>
      </c>
      <c r="F51" s="41">
        <f>F50+F31</f>
        <v>826875.14999999944</v>
      </c>
      <c r="G51" s="41">
        <f>G50+G31</f>
        <v>9119592.0700000003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86485579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93315.25</v>
      </c>
      <c r="D57" s="24" t="s">
        <v>289</v>
      </c>
      <c r="E57" s="95">
        <f>'DOE25'!H79</f>
        <v>614197.44000000006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83616.320000000007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55.05</v>
      </c>
      <c r="E59" s="95">
        <f>'DOE25'!H96</f>
        <v>0</v>
      </c>
      <c r="F59" s="95">
        <f>'DOE25'!I96</f>
        <v>0</v>
      </c>
      <c r="G59" s="95">
        <f>'DOE25'!J96</f>
        <v>253873.15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1939411.43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45754.5</v>
      </c>
      <c r="D61" s="95">
        <f>SUM('DOE25'!G98:G110)</f>
        <v>0</v>
      </c>
      <c r="E61" s="95">
        <f>SUM('DOE25'!H98:H110)</f>
        <v>369831.52</v>
      </c>
      <c r="F61" s="95">
        <f>SUM('DOE25'!I98:I110)</f>
        <v>0</v>
      </c>
      <c r="G61" s="95">
        <f>SUM('DOE25'!J98:J110)</f>
        <v>366613.77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222686.07</v>
      </c>
      <c r="D62" s="130">
        <f>SUM(D57:D61)</f>
        <v>1939466.48</v>
      </c>
      <c r="E62" s="130">
        <f>SUM(E57:E61)</f>
        <v>984028.96000000008</v>
      </c>
      <c r="F62" s="130">
        <f>SUM(F57:F61)</f>
        <v>0</v>
      </c>
      <c r="G62" s="130">
        <f>SUM(G57:G61)</f>
        <v>620486.92000000004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86708265.069999993</v>
      </c>
      <c r="D63" s="22">
        <f>D56+D62</f>
        <v>1939466.48</v>
      </c>
      <c r="E63" s="22">
        <f>E56+E62</f>
        <v>984028.96000000008</v>
      </c>
      <c r="F63" s="22">
        <f>F56+F62</f>
        <v>0</v>
      </c>
      <c r="G63" s="22">
        <f>G56+G62</f>
        <v>620486.92000000004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35943296.520000003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19252197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55195493.520000003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2557794.77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390158.57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171755.17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73024.95</v>
      </c>
      <c r="E77" s="95">
        <f>SUM('DOE25'!H131:H135)</f>
        <v>8140.9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3119708.51</v>
      </c>
      <c r="D78" s="130">
        <f>SUM(D72:D77)</f>
        <v>73024.95</v>
      </c>
      <c r="E78" s="130">
        <f>SUM(E72:E77)</f>
        <v>8140.9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58315202.030000001</v>
      </c>
      <c r="D81" s="130">
        <f>SUM(D79:D80)+D78+D70</f>
        <v>73024.95</v>
      </c>
      <c r="E81" s="130">
        <f>SUM(E79:E80)+E78+E70</f>
        <v>8140.9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208011.07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1822207.32</v>
      </c>
      <c r="D88" s="95">
        <f>SUM('DOE25'!G153:G161)</f>
        <v>2966418.23</v>
      </c>
      <c r="E88" s="95">
        <f>SUM('DOE25'!H153:H161)</f>
        <v>7980018.8699999992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1822207.32</v>
      </c>
      <c r="D91" s="131">
        <f>SUM(D85:D90)</f>
        <v>2966418.23</v>
      </c>
      <c r="E91" s="131">
        <f>SUM(E85:E90)</f>
        <v>8188029.9399999995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8790250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53445.27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650000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200000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200000</v>
      </c>
      <c r="D103" s="86">
        <f>SUM(D93:D102)</f>
        <v>0</v>
      </c>
      <c r="E103" s="86">
        <f>SUM(E93:E102)</f>
        <v>0</v>
      </c>
      <c r="F103" s="86">
        <f>SUM(F93:F102)</f>
        <v>9440250</v>
      </c>
      <c r="G103" s="86">
        <f>SUM(G93:G102)</f>
        <v>53445.27</v>
      </c>
    </row>
    <row r="104" spans="1:7" ht="12.75" thickTop="1" thickBot="1" x14ac:dyDescent="0.25">
      <c r="A104" s="33" t="s">
        <v>765</v>
      </c>
      <c r="C104" s="86">
        <f>C63+C81+C91+C103</f>
        <v>147045674.41999999</v>
      </c>
      <c r="D104" s="86">
        <f>D63+D81+D91+D103</f>
        <v>4978909.66</v>
      </c>
      <c r="E104" s="86">
        <f>E63+E81+E91+E103</f>
        <v>9180199.7999999989</v>
      </c>
      <c r="F104" s="86">
        <f>F63+F81+F91+F103</f>
        <v>9440250</v>
      </c>
      <c r="G104" s="86">
        <f>G63+G81+G103</f>
        <v>673932.19000000006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56010714.949999996</v>
      </c>
      <c r="D109" s="24" t="s">
        <v>289</v>
      </c>
      <c r="E109" s="95">
        <f>('DOE25'!L276)+('DOE25'!L295)+('DOE25'!L314)</f>
        <v>268052.26999999996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23000929.189999998</v>
      </c>
      <c r="D110" s="24" t="s">
        <v>289</v>
      </c>
      <c r="E110" s="95">
        <f>('DOE25'!L277)+('DOE25'!L296)+('DOE25'!L315)</f>
        <v>4837992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5060891.7100000009</v>
      </c>
      <c r="D111" s="24" t="s">
        <v>289</v>
      </c>
      <c r="E111" s="95">
        <f>('DOE25'!L278)+('DOE25'!L297)+('DOE25'!L316)</f>
        <v>222837.25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1039970.0300000001</v>
      </c>
      <c r="D112" s="24" t="s">
        <v>289</v>
      </c>
      <c r="E112" s="95">
        <f>+('DOE25'!L279)+('DOE25'!L298)+('DOE25'!L317)</f>
        <v>852150.28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16459.46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129207.98999999999</v>
      </c>
      <c r="D114" s="24" t="s">
        <v>289</v>
      </c>
      <c r="E114" s="95">
        <f>+ SUM('DOE25'!L333:L335)</f>
        <v>163955.59000000003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85241713.86999999</v>
      </c>
      <c r="D115" s="86">
        <f>SUM(D109:D114)</f>
        <v>0</v>
      </c>
      <c r="E115" s="86">
        <f>SUM(E109:E114)</f>
        <v>6361446.8499999996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12569723.960000001</v>
      </c>
      <c r="D118" s="24" t="s">
        <v>289</v>
      </c>
      <c r="E118" s="95">
        <f>+('DOE25'!L281)+('DOE25'!L300)+('DOE25'!L319)</f>
        <v>313711.75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5132075.75</v>
      </c>
      <c r="D119" s="24" t="s">
        <v>289</v>
      </c>
      <c r="E119" s="95">
        <f>+('DOE25'!L282)+('DOE25'!L301)+('DOE25'!L320)</f>
        <v>1997597.04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3430201.9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7155117.6900000004</v>
      </c>
      <c r="D121" s="24" t="s">
        <v>289</v>
      </c>
      <c r="E121" s="95">
        <f>+('DOE25'!L284)+('DOE25'!L303)+('DOE25'!L322)</f>
        <v>109378.78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1008005.9800000001</v>
      </c>
      <c r="D122" s="24" t="s">
        <v>289</v>
      </c>
      <c r="E122" s="95">
        <f>+('DOE25'!L285)+('DOE25'!L304)+('DOE25'!L323)</f>
        <v>258177.56999999998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14140446.160000002</v>
      </c>
      <c r="D123" s="24" t="s">
        <v>289</v>
      </c>
      <c r="E123" s="95">
        <f>+('DOE25'!L286)+('DOE25'!L305)+('DOE25'!L324)</f>
        <v>113553.37000000001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5871261.5699999994</v>
      </c>
      <c r="D124" s="24" t="s">
        <v>289</v>
      </c>
      <c r="E124" s="95">
        <f>+('DOE25'!L287)+('DOE25'!L306)+('DOE25'!L325)</f>
        <v>390896.39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570383.92999999993</v>
      </c>
      <c r="D125" s="24" t="s">
        <v>289</v>
      </c>
      <c r="E125" s="95">
        <f>+('DOE25'!L288)+('DOE25'!L307)+('DOE25'!L326)</f>
        <v>33.39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4876209.76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49877216.940000005</v>
      </c>
      <c r="D128" s="86">
        <f>SUM(D118:D127)</f>
        <v>4876209.76</v>
      </c>
      <c r="E128" s="86">
        <f>SUM(E118:E127)</f>
        <v>3183348.29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102529</v>
      </c>
      <c r="D130" s="24" t="s">
        <v>289</v>
      </c>
      <c r="E130" s="129">
        <f>'DOE25'!L336</f>
        <v>0</v>
      </c>
      <c r="F130" s="129">
        <f>SUM('DOE25'!L374:'DOE25'!L380)</f>
        <v>7708282.0599999996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8783882.75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3040331.86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53445.27</v>
      </c>
      <c r="G134" s="95">
        <f>'DOE25'!K434</f>
        <v>850405.44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54178.869999999995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358357.25999999995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261396.06000000003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-673932.19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11926743.609999999</v>
      </c>
      <c r="D144" s="141">
        <f>SUM(D130:D143)</f>
        <v>0</v>
      </c>
      <c r="E144" s="141">
        <f>SUM(E130:E143)</f>
        <v>0</v>
      </c>
      <c r="F144" s="141">
        <f>SUM(F130:F143)</f>
        <v>7761727.3299999991</v>
      </c>
      <c r="G144" s="141">
        <f>SUM(G130:G143)</f>
        <v>850405.44</v>
      </c>
    </row>
    <row r="145" spans="1:9" ht="12.75" thickTop="1" thickBot="1" x14ac:dyDescent="0.25">
      <c r="A145" s="33" t="s">
        <v>244</v>
      </c>
      <c r="C145" s="86">
        <f>(C115+C128+C144)</f>
        <v>147045674.42000002</v>
      </c>
      <c r="D145" s="86">
        <f>(D115+D128+D144)</f>
        <v>4876209.76</v>
      </c>
      <c r="E145" s="86">
        <f>(E115+E128+E144)</f>
        <v>9544795.1400000006</v>
      </c>
      <c r="F145" s="86">
        <f>(F115+F128+F144)</f>
        <v>7761727.3299999991</v>
      </c>
      <c r="G145" s="86">
        <f>(G115+G128+G144)</f>
        <v>850405.44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 t="str">
        <f>'DOE25'!F494</f>
        <v>*SEE SUPPLEMENTAL SCHEDULE*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71743530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71743530</v>
      </c>
    </row>
    <row r="157" spans="1:9" x14ac:dyDescent="0.2">
      <c r="A157" s="22" t="s">
        <v>33</v>
      </c>
      <c r="B157" s="137">
        <f>'DOE25'!F496</f>
        <v>7988500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7988500</v>
      </c>
    </row>
    <row r="158" spans="1:9" x14ac:dyDescent="0.2">
      <c r="A158" s="22" t="s">
        <v>34</v>
      </c>
      <c r="B158" s="137">
        <f>'DOE25'!F497</f>
        <v>8783883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8783883</v>
      </c>
    </row>
    <row r="159" spans="1:9" x14ac:dyDescent="0.2">
      <c r="A159" s="22" t="s">
        <v>35</v>
      </c>
      <c r="B159" s="137">
        <f>'DOE25'!F498</f>
        <v>70948145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70948145</v>
      </c>
    </row>
    <row r="160" spans="1:9" x14ac:dyDescent="0.2">
      <c r="A160" s="22" t="s">
        <v>36</v>
      </c>
      <c r="B160" s="137">
        <f>'DOE25'!F499</f>
        <v>15908136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15908136</v>
      </c>
    </row>
    <row r="161" spans="1:7" x14ac:dyDescent="0.2">
      <c r="A161" s="22" t="s">
        <v>37</v>
      </c>
      <c r="B161" s="137">
        <f>'DOE25'!F500</f>
        <v>86856281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86856281</v>
      </c>
    </row>
    <row r="162" spans="1:7" x14ac:dyDescent="0.2">
      <c r="A162" s="22" t="s">
        <v>38</v>
      </c>
      <c r="B162" s="137">
        <f>'DOE25'!F501</f>
        <v>8907380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8907380</v>
      </c>
    </row>
    <row r="163" spans="1:7" x14ac:dyDescent="0.2">
      <c r="A163" s="22" t="s">
        <v>39</v>
      </c>
      <c r="B163" s="137">
        <f>'DOE25'!F502</f>
        <v>2841068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2841068</v>
      </c>
    </row>
    <row r="164" spans="1:7" x14ac:dyDescent="0.2">
      <c r="A164" s="22" t="s">
        <v>246</v>
      </c>
      <c r="B164" s="137">
        <f>'DOE25'!F503</f>
        <v>11748448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11748448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Nashua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12266</v>
      </c>
    </row>
    <row r="5" spans="1:4" x14ac:dyDescent="0.2">
      <c r="B5" t="s">
        <v>704</v>
      </c>
      <c r="C5" s="179">
        <f>IF('DOE25'!G665+'DOE25'!G670=0,0,ROUND('DOE25'!G672,0))</f>
        <v>12331</v>
      </c>
    </row>
    <row r="6" spans="1:4" x14ac:dyDescent="0.2">
      <c r="B6" t="s">
        <v>62</v>
      </c>
      <c r="C6" s="179">
        <f>IF('DOE25'!H665+'DOE25'!H670=0,0,ROUND('DOE25'!H672,0))</f>
        <v>11753</v>
      </c>
    </row>
    <row r="7" spans="1:4" x14ac:dyDescent="0.2">
      <c r="B7" t="s">
        <v>705</v>
      </c>
      <c r="C7" s="179">
        <f>IF('DOE25'!I665+'DOE25'!I670=0,0,ROUND('DOE25'!I672,0))</f>
        <v>12117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56278767</v>
      </c>
      <c r="D10" s="182">
        <f>ROUND((C10/$C$28)*100,1)</f>
        <v>37.4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27838921</v>
      </c>
      <c r="D11" s="182">
        <f>ROUND((C11/$C$28)*100,1)</f>
        <v>18.5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5283729</v>
      </c>
      <c r="D12" s="182">
        <f>ROUND((C12/$C$28)*100,1)</f>
        <v>3.5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1892120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12883436</v>
      </c>
      <c r="D15" s="182">
        <f t="shared" ref="D15:D27" si="0">ROUND((C15/$C$28)*100,1)</f>
        <v>8.6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7129673</v>
      </c>
      <c r="D16" s="182">
        <f t="shared" si="0"/>
        <v>4.7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4000619</v>
      </c>
      <c r="D17" s="182">
        <f t="shared" si="0"/>
        <v>2.7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7264496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1266184</v>
      </c>
      <c r="D19" s="182">
        <f t="shared" si="0"/>
        <v>0.8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14254000</v>
      </c>
      <c r="D20" s="182">
        <f t="shared" si="0"/>
        <v>9.5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6262158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16459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293164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3040332</v>
      </c>
      <c r="D25" s="182">
        <f t="shared" si="0"/>
        <v>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2936798.5700000003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150640856.56999999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7810811</v>
      </c>
    </row>
    <row r="30" spans="1:4" x14ac:dyDescent="0.2">
      <c r="B30" s="187" t="s">
        <v>729</v>
      </c>
      <c r="C30" s="180">
        <f>SUM(C28:C29)</f>
        <v>158451667.56999999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8783883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86485579</v>
      </c>
      <c r="D35" s="182">
        <f t="shared" ref="D35:D40" si="1">ROUND((C35/$C$41)*100,1)</f>
        <v>53.9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2629006.9999999851</v>
      </c>
      <c r="D36" s="182">
        <f t="shared" si="1"/>
        <v>1.6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55195494</v>
      </c>
      <c r="D37" s="182">
        <f t="shared" si="1"/>
        <v>34.4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3200874</v>
      </c>
      <c r="D38" s="182">
        <f t="shared" si="1"/>
        <v>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12976655</v>
      </c>
      <c r="D39" s="182">
        <f t="shared" si="1"/>
        <v>8.1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160487609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7988500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770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6" t="s">
        <v>767</v>
      </c>
      <c r="B2" s="297"/>
      <c r="C2" s="297"/>
      <c r="D2" s="297"/>
      <c r="E2" s="297"/>
      <c r="F2" s="294" t="str">
        <f>'DOE25'!A2</f>
        <v>Nashua School District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2" t="s">
        <v>771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1"/>
      <c r="O29" s="211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7"/>
      <c r="AB29" s="207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7"/>
      <c r="AO29" s="207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7"/>
      <c r="BB29" s="207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7"/>
      <c r="BO29" s="207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7"/>
      <c r="CB29" s="207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7"/>
      <c r="CO29" s="207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7"/>
      <c r="DB29" s="207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7"/>
      <c r="DO29" s="207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7"/>
      <c r="EB29" s="207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7"/>
      <c r="EO29" s="207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7"/>
      <c r="FB29" s="207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7"/>
      <c r="FO29" s="207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7"/>
      <c r="GB29" s="207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7"/>
      <c r="GO29" s="207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7"/>
      <c r="HB29" s="207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7"/>
      <c r="HO29" s="207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7"/>
      <c r="IB29" s="207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7"/>
      <c r="IO29" s="207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8"/>
      <c r="B30" s="219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1"/>
      <c r="O30" s="211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7"/>
      <c r="AB30" s="207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7"/>
      <c r="AO30" s="207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7"/>
      <c r="BB30" s="207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7"/>
      <c r="BO30" s="207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7"/>
      <c r="CB30" s="207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7"/>
      <c r="CO30" s="207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7"/>
      <c r="DB30" s="207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7"/>
      <c r="DO30" s="207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7"/>
      <c r="EB30" s="207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7"/>
      <c r="EO30" s="207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7"/>
      <c r="FB30" s="207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7"/>
      <c r="FO30" s="207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7"/>
      <c r="GB30" s="207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7"/>
      <c r="GO30" s="207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7"/>
      <c r="HB30" s="207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7"/>
      <c r="HO30" s="207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7"/>
      <c r="IB30" s="207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7"/>
      <c r="IO30" s="207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8"/>
      <c r="B31" s="219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1"/>
      <c r="O31" s="211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7"/>
      <c r="AB31" s="207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7"/>
      <c r="AO31" s="207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7"/>
      <c r="BB31" s="207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7"/>
      <c r="BO31" s="207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7"/>
      <c r="CB31" s="207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7"/>
      <c r="CO31" s="207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7"/>
      <c r="DB31" s="207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7"/>
      <c r="DO31" s="207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7"/>
      <c r="EB31" s="207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7"/>
      <c r="EO31" s="207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7"/>
      <c r="FB31" s="207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7"/>
      <c r="FO31" s="207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7"/>
      <c r="GB31" s="207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7"/>
      <c r="GO31" s="207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7"/>
      <c r="HB31" s="207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7"/>
      <c r="HO31" s="207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7"/>
      <c r="IB31" s="207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7"/>
      <c r="IO31" s="207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8"/>
      <c r="B32" s="219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3"/>
      <c r="O32" s="223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9"/>
      <c r="AA32" s="218"/>
      <c r="AB32" s="219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8"/>
      <c r="AO32" s="219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8"/>
      <c r="BB32" s="219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8"/>
      <c r="BO32" s="219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8"/>
      <c r="CB32" s="219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8"/>
      <c r="CO32" s="219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8"/>
      <c r="DB32" s="219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8"/>
      <c r="DO32" s="219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8"/>
      <c r="EB32" s="219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8"/>
      <c r="EO32" s="219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8"/>
      <c r="FB32" s="219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8"/>
      <c r="FO32" s="219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8"/>
      <c r="GB32" s="219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8"/>
      <c r="GO32" s="219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8"/>
      <c r="HB32" s="219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8"/>
      <c r="HO32" s="219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8"/>
      <c r="IB32" s="219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8"/>
      <c r="IO32" s="219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8"/>
      <c r="B33" s="219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1"/>
      <c r="O38" s="211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7"/>
      <c r="AB38" s="207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7"/>
      <c r="AO38" s="207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7"/>
      <c r="BB38" s="207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7"/>
      <c r="BO38" s="207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7"/>
      <c r="CB38" s="207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7"/>
      <c r="CO38" s="207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7"/>
      <c r="DB38" s="207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7"/>
      <c r="DO38" s="207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7"/>
      <c r="EB38" s="207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7"/>
      <c r="EO38" s="207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7"/>
      <c r="FB38" s="207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7"/>
      <c r="FO38" s="207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7"/>
      <c r="GB38" s="207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7"/>
      <c r="GO38" s="207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7"/>
      <c r="HB38" s="207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7"/>
      <c r="HO38" s="207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7"/>
      <c r="IB38" s="207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7"/>
      <c r="IO38" s="207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8"/>
      <c r="B39" s="21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1"/>
      <c r="O39" s="211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7"/>
      <c r="AB39" s="207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7"/>
      <c r="AO39" s="207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7"/>
      <c r="BB39" s="207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7"/>
      <c r="BO39" s="207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7"/>
      <c r="CB39" s="207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7"/>
      <c r="CO39" s="207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7"/>
      <c r="DB39" s="207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7"/>
      <c r="DO39" s="207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7"/>
      <c r="EB39" s="207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7"/>
      <c r="EO39" s="207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7"/>
      <c r="FB39" s="207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7"/>
      <c r="FO39" s="207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7"/>
      <c r="GB39" s="207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7"/>
      <c r="GO39" s="207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7"/>
      <c r="HB39" s="207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7"/>
      <c r="HO39" s="207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7"/>
      <c r="IB39" s="207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7"/>
      <c r="IO39" s="207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8"/>
      <c r="B40" s="219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1"/>
      <c r="O40" s="211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7"/>
      <c r="AB40" s="207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7"/>
      <c r="AO40" s="207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7"/>
      <c r="BB40" s="207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7"/>
      <c r="BO40" s="207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7"/>
      <c r="CB40" s="207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7"/>
      <c r="CO40" s="207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7"/>
      <c r="DB40" s="207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7"/>
      <c r="DO40" s="207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7"/>
      <c r="EB40" s="207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7"/>
      <c r="EO40" s="207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7"/>
      <c r="FB40" s="207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7"/>
      <c r="FO40" s="207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7"/>
      <c r="GB40" s="207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7"/>
      <c r="GO40" s="207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7"/>
      <c r="HB40" s="207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7"/>
      <c r="HO40" s="207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7"/>
      <c r="IB40" s="207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7"/>
      <c r="IO40" s="207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8"/>
      <c r="B41" s="219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8"/>
      <c r="B60" s="219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8"/>
      <c r="B61" s="219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8"/>
      <c r="B62" s="219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8"/>
      <c r="B63" s="219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8"/>
      <c r="B64" s="219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8"/>
      <c r="B65" s="219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8"/>
      <c r="B66" s="219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8"/>
      <c r="B67" s="219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8"/>
      <c r="B68" s="219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8"/>
      <c r="B69" s="219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0"/>
      <c r="B70" s="221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1"/>
      <c r="B74" s="211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1"/>
      <c r="B75" s="211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1"/>
      <c r="B76" s="211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1"/>
      <c r="B77" s="211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1"/>
      <c r="B78" s="211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1"/>
      <c r="B79" s="211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1"/>
      <c r="B80" s="211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1"/>
      <c r="B81" s="211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1"/>
      <c r="B82" s="211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1"/>
      <c r="B83" s="211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1"/>
      <c r="B84" s="211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1"/>
      <c r="B85" s="211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1"/>
      <c r="B86" s="211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1"/>
      <c r="B87" s="211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1"/>
      <c r="B88" s="211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1"/>
      <c r="B89" s="211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1"/>
      <c r="B90" s="211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A30A" sheet="1" objects="1" scenarios="1"/>
  <mergeCells count="223">
    <mergeCell ref="IP40:IV40"/>
    <mergeCell ref="C45:M45"/>
    <mergeCell ref="DC40:DM40"/>
    <mergeCell ref="EP40:EZ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FP39:FZ39"/>
    <mergeCell ref="GP39:GZ39"/>
    <mergeCell ref="C46:M46"/>
    <mergeCell ref="GC40:GM40"/>
    <mergeCell ref="GP40:GZ40"/>
    <mergeCell ref="HC40:HM40"/>
    <mergeCell ref="HP40:HZ40"/>
    <mergeCell ref="EC40:EM40"/>
    <mergeCell ref="AP40:AZ40"/>
    <mergeCell ref="CC40:CM40"/>
    <mergeCell ref="CP40:CZ40"/>
    <mergeCell ref="P40:Z40"/>
    <mergeCell ref="AC40:AM40"/>
    <mergeCell ref="C39:M39"/>
    <mergeCell ref="C40:M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EC32:EM32"/>
    <mergeCell ref="EP32:EZ32"/>
    <mergeCell ref="FC32:FM32"/>
    <mergeCell ref="BP32:B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GC30:GM30"/>
    <mergeCell ref="HP32:HZ32"/>
    <mergeCell ref="DC32:DM32"/>
    <mergeCell ref="IC30:IM30"/>
    <mergeCell ref="IP30:IV30"/>
    <mergeCell ref="BC31:BM31"/>
    <mergeCell ref="BC32:BM32"/>
    <mergeCell ref="BC39:BM39"/>
    <mergeCell ref="BP31:BZ31"/>
    <mergeCell ref="CC31:CM31"/>
    <mergeCell ref="AP32:AZ32"/>
    <mergeCell ref="CP31:CZ31"/>
    <mergeCell ref="FP32:FZ32"/>
    <mergeCell ref="GC32:GM32"/>
    <mergeCell ref="DC38:DM38"/>
    <mergeCell ref="DP38:DZ38"/>
    <mergeCell ref="EC38:EM38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P30:GZ30"/>
    <mergeCell ref="FP29:FZ29"/>
    <mergeCell ref="GC29:GM29"/>
    <mergeCell ref="GP29:GZ29"/>
    <mergeCell ref="HC29:HM29"/>
    <mergeCell ref="HC30:HM30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21:M21"/>
    <mergeCell ref="C22:M22"/>
    <mergeCell ref="C23:M23"/>
    <mergeCell ref="C24:M24"/>
    <mergeCell ref="C29:M29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AC32:AM32"/>
    <mergeCell ref="C76:M76"/>
    <mergeCell ref="C66:M66"/>
    <mergeCell ref="C70:M70"/>
    <mergeCell ref="A72:E72"/>
    <mergeCell ref="C73:M73"/>
    <mergeCell ref="C74:M74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87:M87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61:M61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2015-10-26T13:37:05Z</cp:lastPrinted>
  <dcterms:created xsi:type="dcterms:W3CDTF">1997-12-04T19:04:30Z</dcterms:created>
  <dcterms:modified xsi:type="dcterms:W3CDTF">2015-11-30T13:42:21Z</dcterms:modified>
</cp:coreProperties>
</file>