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H611" i="1"/>
  <c r="G611" i="1"/>
  <c r="F611" i="1"/>
  <c r="K531" i="1"/>
  <c r="H526" i="1"/>
  <c r="I526" i="1"/>
  <c r="G526" i="1"/>
  <c r="F526" i="1"/>
  <c r="G521" i="1"/>
  <c r="F521" i="1"/>
  <c r="I281" i="1"/>
  <c r="H279" i="1"/>
  <c r="G279" i="1"/>
  <c r="G276" i="1"/>
  <c r="F276" i="1"/>
  <c r="J276" i="1"/>
  <c r="K266" i="1"/>
  <c r="H244" i="1"/>
  <c r="H226" i="1"/>
  <c r="I203" i="1"/>
  <c r="I202" i="1"/>
  <c r="H204" i="1"/>
  <c r="H202" i="1"/>
  <c r="G204" i="1"/>
  <c r="G203" i="1"/>
  <c r="G202" i="1"/>
  <c r="G200" i="1"/>
  <c r="F204" i="1"/>
  <c r="F202" i="1"/>
  <c r="F200" i="1"/>
  <c r="H151" i="1"/>
  <c r="F110" i="1"/>
  <c r="H28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90" i="1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3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0" i="2"/>
  <c r="E128" i="2" s="1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G641" i="1"/>
  <c r="H641" i="1"/>
  <c r="G643" i="1"/>
  <c r="G644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D62" i="2"/>
  <c r="D63" i="2" s="1"/>
  <c r="D18" i="13"/>
  <c r="C18" i="13" s="1"/>
  <c r="D7" i="13"/>
  <c r="C7" i="13" s="1"/>
  <c r="D17" i="13"/>
  <c r="C17" i="13" s="1"/>
  <c r="F78" i="2"/>
  <c r="F81" i="2" s="1"/>
  <c r="D31" i="2"/>
  <c r="C78" i="2"/>
  <c r="D50" i="2"/>
  <c r="G157" i="2"/>
  <c r="F18" i="2"/>
  <c r="G161" i="2"/>
  <c r="G156" i="2"/>
  <c r="E103" i="2"/>
  <c r="D91" i="2"/>
  <c r="E31" i="2"/>
  <c r="D19" i="13"/>
  <c r="C19" i="13" s="1"/>
  <c r="D14" i="13"/>
  <c r="C14" i="13" s="1"/>
  <c r="E13" i="13"/>
  <c r="C13" i="13" s="1"/>
  <c r="E78" i="2"/>
  <c r="E81" i="2" s="1"/>
  <c r="L427" i="1"/>
  <c r="J641" i="1"/>
  <c r="J571" i="1"/>
  <c r="K571" i="1"/>
  <c r="L433" i="1"/>
  <c r="D81" i="2"/>
  <c r="I169" i="1"/>
  <c r="H169" i="1"/>
  <c r="J476" i="1"/>
  <c r="H626" i="1" s="1"/>
  <c r="H476" i="1"/>
  <c r="H624" i="1" s="1"/>
  <c r="I476" i="1"/>
  <c r="H625" i="1" s="1"/>
  <c r="J625" i="1" s="1"/>
  <c r="J140" i="1"/>
  <c r="F571" i="1"/>
  <c r="I552" i="1"/>
  <c r="K550" i="1"/>
  <c r="G22" i="2"/>
  <c r="J552" i="1"/>
  <c r="H552" i="1"/>
  <c r="C29" i="10"/>
  <c r="H140" i="1"/>
  <c r="F22" i="13"/>
  <c r="H25" i="13"/>
  <c r="C25" i="13" s="1"/>
  <c r="J651" i="1"/>
  <c r="H571" i="1"/>
  <c r="L560" i="1"/>
  <c r="J545" i="1"/>
  <c r="H338" i="1"/>
  <c r="H352" i="1" s="1"/>
  <c r="G192" i="1"/>
  <c r="H192" i="1"/>
  <c r="F552" i="1"/>
  <c r="C35" i="10"/>
  <c r="L309" i="1"/>
  <c r="E16" i="13"/>
  <c r="L570" i="1"/>
  <c r="I571" i="1"/>
  <c r="J636" i="1"/>
  <c r="G36" i="2"/>
  <c r="L565" i="1"/>
  <c r="G545" i="1"/>
  <c r="K551" i="1"/>
  <c r="C22" i="13"/>
  <c r="C16" i="13"/>
  <c r="H33" i="13"/>
  <c r="L534" i="1" l="1"/>
  <c r="A40" i="12"/>
  <c r="A13" i="12"/>
  <c r="I408" i="1"/>
  <c r="H408" i="1"/>
  <c r="H644" i="1" s="1"/>
  <c r="J644" i="1" s="1"/>
  <c r="G645" i="1"/>
  <c r="H545" i="1"/>
  <c r="L529" i="1"/>
  <c r="K549" i="1"/>
  <c r="K552" i="1" s="1"/>
  <c r="F476" i="1"/>
  <c r="H622" i="1" s="1"/>
  <c r="I460" i="1"/>
  <c r="I461" i="1" s="1"/>
  <c r="H642" i="1" s="1"/>
  <c r="J640" i="1"/>
  <c r="J639" i="1"/>
  <c r="I446" i="1"/>
  <c r="G642" i="1" s="1"/>
  <c r="G408" i="1"/>
  <c r="H645" i="1" s="1"/>
  <c r="D127" i="2"/>
  <c r="D128" i="2" s="1"/>
  <c r="D145" i="2" s="1"/>
  <c r="G661" i="1"/>
  <c r="I661" i="1" s="1"/>
  <c r="L362" i="1"/>
  <c r="G635" i="1" s="1"/>
  <c r="J635" i="1" s="1"/>
  <c r="H661" i="1"/>
  <c r="D29" i="13"/>
  <c r="C29" i="13" s="1"/>
  <c r="C17" i="10"/>
  <c r="C16" i="10"/>
  <c r="E115" i="2"/>
  <c r="E145" i="2" s="1"/>
  <c r="K271" i="1"/>
  <c r="C124" i="2"/>
  <c r="H662" i="1"/>
  <c r="I662" i="1" s="1"/>
  <c r="L247" i="1"/>
  <c r="C11" i="10"/>
  <c r="H660" i="1"/>
  <c r="C110" i="2"/>
  <c r="L229" i="1"/>
  <c r="H257" i="1"/>
  <c r="H271" i="1" s="1"/>
  <c r="C10" i="10"/>
  <c r="D12" i="13"/>
  <c r="C12" i="13" s="1"/>
  <c r="C119" i="2"/>
  <c r="H647" i="1"/>
  <c r="J647" i="1"/>
  <c r="D15" i="13"/>
  <c r="C15" i="13" s="1"/>
  <c r="G649" i="1"/>
  <c r="J649" i="1" s="1"/>
  <c r="D5" i="13"/>
  <c r="C5" i="13" s="1"/>
  <c r="C109" i="2"/>
  <c r="C121" i="2"/>
  <c r="C123" i="2"/>
  <c r="E8" i="13"/>
  <c r="C8" i="13" s="1"/>
  <c r="C120" i="2"/>
  <c r="L211" i="1"/>
  <c r="D6" i="13"/>
  <c r="C6" i="13" s="1"/>
  <c r="C15" i="10"/>
  <c r="H112" i="1"/>
  <c r="H193" i="1" s="1"/>
  <c r="G629" i="1" s="1"/>
  <c r="J629" i="1" s="1"/>
  <c r="C81" i="2"/>
  <c r="C62" i="2"/>
  <c r="C63" i="2" s="1"/>
  <c r="C104" i="2" s="1"/>
  <c r="F112" i="1"/>
  <c r="C36" i="10" s="1"/>
  <c r="J624" i="1"/>
  <c r="H52" i="1"/>
  <c r="H619" i="1" s="1"/>
  <c r="J619" i="1" s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C27" i="10"/>
  <c r="L545" i="1" l="1"/>
  <c r="G104" i="2"/>
  <c r="J645" i="1"/>
  <c r="J642" i="1"/>
  <c r="H646" i="1"/>
  <c r="J646" i="1" s="1"/>
  <c r="G667" i="1"/>
  <c r="D31" i="13"/>
  <c r="C31" i="13" s="1"/>
  <c r="H664" i="1"/>
  <c r="C115" i="2"/>
  <c r="C145" i="2" s="1"/>
  <c r="L257" i="1"/>
  <c r="L271" i="1" s="1"/>
  <c r="G632" i="1" s="1"/>
  <c r="J632" i="1" s="1"/>
  <c r="C128" i="2"/>
  <c r="E33" i="13"/>
  <c r="D35" i="13" s="1"/>
  <c r="C28" i="10"/>
  <c r="D24" i="10" s="1"/>
  <c r="F660" i="1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67" i="1"/>
  <c r="H672" i="1"/>
  <c r="C6" i="10" s="1"/>
  <c r="D20" i="10"/>
  <c r="D19" i="10"/>
  <c r="D13" i="10"/>
  <c r="D23" i="10"/>
  <c r="D11" i="10"/>
  <c r="C30" i="10"/>
  <c r="D26" i="10"/>
  <c r="D25" i="10"/>
  <c r="D10" i="10"/>
  <c r="D15" i="10"/>
  <c r="D16" i="10"/>
  <c r="D21" i="10"/>
  <c r="D22" i="10"/>
  <c r="D27" i="10"/>
  <c r="D18" i="10"/>
  <c r="D17" i="10"/>
  <c r="D12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<sst xmlns="http://schemas.openxmlformats.org/spreadsheetml/2006/main" count="3954" uniqueCount="912">
  <si>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</si>
  <si>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</si>
  <si>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</si>
  <si>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</si>
  <si>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</si>
  <si>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</si>
  <si>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</si>
  <si>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</si>
  <si>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</si>
  <si>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</si>
  <si>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</si>
  <si>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</si>
  <si>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</si>
  <si>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</si>
  <si>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</si>
  <si>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</si>
  <si>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</si>
  <si>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</si>
  <si>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</si>
  <si>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</si>
  <si>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</si>
  <si>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</si>
  <si>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</si>
  <si>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</si>
  <si>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</si>
  <si>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</si>
  <si>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</si>
  <si>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</si>
  <si>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</si>
  <si>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</si>
  <si>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</si>
  <si>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</si>
  <si>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</si>
  <si>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</si>
  <si>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</si>
  <si>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</si>
  <si>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</si>
  <si>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</si>
  <si>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</si>
  <si>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</si>
  <si>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</si>
  <si>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</si>
  <si>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</si>
  <si>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</si>
  <si>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</si>
  <si>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</si>
  <si>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</si>
  <si>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</si>
  <si>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</si>
  <si>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</si>
  <si>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</si>
  <si>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</si>
  <si>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</si>
  <si>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</si>
  <si>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</si>
  <si>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</si>
  <si>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</si>
  <si>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</si>
  <si>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</si>
  <si>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</si>
  <si>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</si>
  <si>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</si>
  <si>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</si>
  <si>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</si>
  <si>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</si>
  <si>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</si>
  <si>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</si>
  <si>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</si>
  <si>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</si>
  <si>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</si>
  <si>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</si>
  <si>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</si>
  <si>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</si>
  <si>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</si>
  <si>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</si>
  <si>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</si>
  <si>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</si>
  <si>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</si>
  <si>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</si>
  <si>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</si>
  <si>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</si>
  <si>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</si>
  <si>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</si>
  <si>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</si>
  <si>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</si>
  <si>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</si>
  <si>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</si>
  <si>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</si>
  <si>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</si>
  <si>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</si>
  <si>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</si>
  <si>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</si>
  <si>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</si>
  <si>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</si>
  <si>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</si>
  <si>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</si>
  <si>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</si>
  <si>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</si>
  <si>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</si>
  <si>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</si>
  <si>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</si>
  <si>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</si>
  <si>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</si>
  <si>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</si>
  <si>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</si>
  <si>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</si>
  <si>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</si>
  <si>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</si>
  <si>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</si>
  <si>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</si>
  <si>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</si>
  <si>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</si>
  <si>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</si>
  <si>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</si>
  <si>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</si>
  <si>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</si>
  <si>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</si>
  <si>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</si>
  <si>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</si>
  <si>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</si>
  <si>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</si>
  <si>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</si>
  <si>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</si>
  <si>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</si>
  <si>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</si>
  <si>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</si>
  <si>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</si>
  <si>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</si>
  <si>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</si>
  <si>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</si>
  <si>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</si>
  <si>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</si>
  <si>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</si>
  <si>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</si>
  <si>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</si>
  <si>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</si>
  <si>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</si>
  <si>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</si>
  <si>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</si>
  <si>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</si>
  <si>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</si>
  <si>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</si>
  <si>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</si>
  <si>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</si>
  <si>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</si>
  <si>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</si>
  <si>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</si>
  <si>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</si>
  <si>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</si>
  <si>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</si>
  <si>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</si>
  <si>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</si>
  <si>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</si>
  <si>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</si>
  <si>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</si>
  <si>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</si>
  <si>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</si>
  <si>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</si>
  <si>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</si>
  <si>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</si>
  <si>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</si>
  <si>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</si>
  <si>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</si>
  <si>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</si>
  <si>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</si>
  <si>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</si>
  <si>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</si>
  <si>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</si>
  <si>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</si>
  <si>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</si>
  <si>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</si>
  <si>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</si>
  <si>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</si>
  <si>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</si>
  <si>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</si>
  <si>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</si>
  <si>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</si>
  <si>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</si>
  <si>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</si>
  <si>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</si>
  <si>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</si>
  <si>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</si>
  <si>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</si>
  <si>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</si>
  <si>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</si>
  <si>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</si>
  <si>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</si>
  <si>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</si>
  <si>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</si>
  <si>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</si>
  <si>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</si>
  <si>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</si>
  <si>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</si>
  <si>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</si>
  <si>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</si>
  <si>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</si>
  <si>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</si>
  <si>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</si>
  <si>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</si>
  <si>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</si>
  <si>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</si>
  <si>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</si>
  <si>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</si>
  <si>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</si>
  <si>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</si>
  <si>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</si>
  <si>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</si>
  <si>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</si>
  <si>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</si>
  <si>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</si>
  <si>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</si>
  <si>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</si>
  <si>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</si>
  <si>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</si>
  <si>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</si>
  <si>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</si>
  <si>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</si>
  <si>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</si>
  <si>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</si>
  <si>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</si>
  <si>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</si>
  <si>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</si>
  <si>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</si>
  <si>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</si>
  <si>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</si>
  <si>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</si>
  <si>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</si>
  <si>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</si>
  <si>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</si>
  <si>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</si>
  <si>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</si>
  <si>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</si>
  <si>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</si>
  <si>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</si>
  <si>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</si>
  <si>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</si>
  <si>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</si>
  <si>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</si>
  <si>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</si>
  <si>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</si>
  <si>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</si>
  <si>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</si>
  <si>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</si>
  <si>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</si>
  <si>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</si>
  <si>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</si>
  <si>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</si>
  <si>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</si>
  <si>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</si>
  <si>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</si>
  <si>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</si>
  <si>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</si>
  <si>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</si>
  <si>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</si>
  <si>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</si>
  <si>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</si>
  <si>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</si>
  <si>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</si>
  <si>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</si>
  <si>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</si>
  <si>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</si>
  <si>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</si>
  <si>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</si>
  <si>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</si>
  <si>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</si>
  <si>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</si>
  <si>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</si>
  <si>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</si>
  <si>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</si>
  <si>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</si>
  <si>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</si>
  <si>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</si>
  <si>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</si>
  <si>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</si>
  <si>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</si>
  <si>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</si>
  <si>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</si>
  <si>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</si>
  <si>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</si>
  <si>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</si>
  <si>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</si>
  <si>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</si>
  <si>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</si>
  <si>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</si>
  <si>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</si>
  <si>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</si>
  <si>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</si>
  <si>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</si>
  <si>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</si>
  <si>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</si>
  <si>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</si>
  <si>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</si>
  <si>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</si>
  <si>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</si>
  <si>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</si>
  <si>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</si>
  <si>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</si>
  <si>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</si>
  <si>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</si>
  <si>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</si>
  <si>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</si>
  <si>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</si>
  <si>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</si>
  <si>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</si>
  <si>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</si>
  <si>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</si>
  <si>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</si>
  <si>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</si>
  <si>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</si>
  <si>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</si>
  <si>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</si>
  <si>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</si>
  <si>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</si>
  <si>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</si>
  <si>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</si>
  <si>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</si>
  <si>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</si>
  <si>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</si>
  <si>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</si>
  <si>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</si>
  <si>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</si>
  <si>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</si>
  <si>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</si>
  <si>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</si>
  <si>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</si>
  <si>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</si>
  <si>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</si>
  <si>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</si>
  <si>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</si>
  <si>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</si>
  <si>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</si>
  <si>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</si>
  <si>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</si>
  <si>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</si>
  <si>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</si>
  <si>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</si>
  <si>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</si>
  <si>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</si>
  <si>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</si>
  <si>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</si>
  <si>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</si>
  <si>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</si>
  <si>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</si>
  <si>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</si>
  <si>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</si>
  <si>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</si>
  <si>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</si>
  <si>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</si>
  <si>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</si>
  <si>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</si>
  <si>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</si>
  <si>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</si>
  <si>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</si>
  <si>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</si>
  <si>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</si>
  <si>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</si>
  <si>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</si>
  <si>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</si>
  <si>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</si>
  <si>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</si>
  <si>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</si>
  <si>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</si>
  <si>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</si>
  <si>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</si>
  <si>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</si>
  <si>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</si>
  <si>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</si>
  <si>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</si>
  <si>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</si>
  <si>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</si>
  <si>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</si>
  <si>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</si>
  <si>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</si>
  <si>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</si>
  <si>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</si>
  <si>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</si>
  <si>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</si>
  <si>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</si>
  <si>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</si>
  <si>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</si>
  <si>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</si>
  <si>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</si>
  <si>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</si>
  <si>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</si>
  <si>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</si>
  <si>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</si>
  <si>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</si>
  <si>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</si>
  <si>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</si>
  <si>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</si>
  <si>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</si>
  <si>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</si>
  <si>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</si>
  <si>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</si>
  <si>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</si>
  <si>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</si>
  <si>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</si>
  <si>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</si>
  <si>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</si>
  <si>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</si>
  <si>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</si>
  <si>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</si>
  <si>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</si>
  <si>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</si>
  <si>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</si>
  <si>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</si>
  <si>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</si>
  <si>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</si>
  <si>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</si>
  <si>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</si>
  <si>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</si>
  <si>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</si>
  <si>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</si>
  <si>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</si>
  <si>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</si>
  <si>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</si>
  <si>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</si>
  <si>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</si>
  <si>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</si>
  <si>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</si>
  <si>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</si>
  <si>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</si>
  <si>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</si>
  <si>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</si>
  <si>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</si>
  <si>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</si>
  <si>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</si>
  <si>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</si>
  <si>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</si>
  <si>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</si>
  <si>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</si>
  <si>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</si>
  <si>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</si>
  <si>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</si>
  <si>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</si>
  <si>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</si>
  <si>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</si>
  <si>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</si>
  <si>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</si>
  <si>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</si>
  <si>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</si>
  <si>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</si>
  <si>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</si>
  <si>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</si>
  <si>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</si>
  <si>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</si>
  <si>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</si>
  <si>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</si>
  <si>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</si>
  <si>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</si>
  <si>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</si>
  <si>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</si>
  <si>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</si>
  <si>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</si>
  <si>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</si>
  <si>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</si>
  <si>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</si>
  <si>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</si>
  <si>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</si>
  <si>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</si>
  <si>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</si>
  <si>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</si>
  <si>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</si>
  <si>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</si>
  <si>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</si>
  <si>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</si>
  <si>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</si>
  <si>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</si>
  <si>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</si>
  <si>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</si>
  <si>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</si>
  <si>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</si>
  <si>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</si>
  <si>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</si>
  <si>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</si>
  <si>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</si>
  <si>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</si>
  <si>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</si>
  <si>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</si>
  <si>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</si>
  <si>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</si>
  <si>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</si>
  <si>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</si>
  <si>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</si>
  <si>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</si>
  <si>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</si>
  <si>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</si>
  <si>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</si>
  <si>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</si>
  <si>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</si>
  <si>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</si>
  <si>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</si>
  <si>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</si>
  <si>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</si>
  <si>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</si>
  <si>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</si>
  <si>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</si>
  <si>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</si>
  <si>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</si>
  <si>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</si>
  <si>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</si>
  <si>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</si>
  <si>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</si>
  <si>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</si>
  <si>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</si>
  <si>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</si>
  <si>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</si>
  <si>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</si>
  <si>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</si>
  <si>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</si>
  <si>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</si>
  <si>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</si>
  <si>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</si>
  <si>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</si>
  <si>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</si>
  <si>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</si>
  <si>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</si>
  <si>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</si>
  <si>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</si>
  <si>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</si>
  <si>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</si>
  <si>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</si>
  <si>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</si>
  <si>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</si>
  <si>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</si>
  <si>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</si>
  <si>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</si>
  <si>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</si>
  <si>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</si>
  <si>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</si>
  <si>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</si>
  <si>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</si>
  <si>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</si>
  <si>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</si>
  <si>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</si>
  <si>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</si>
  <si>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</si>
  <si>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</si>
  <si>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</si>
  <si>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</si>
  <si>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</si>
  <si>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</si>
  <si>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</si>
  <si>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</si>
  <si>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</si>
  <si>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</si>
  <si>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</si>
  <si>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</si>
  <si>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</si>
  <si>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</si>
  <si>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</si>
  <si>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</si>
  <si>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</si>
  <si>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</si>
  <si>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</si>
  <si>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</si>
  <si>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</si>
  <si>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</si>
  <si>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</si>
  <si>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</si>
  <si>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</si>
  <si>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</si>
  <si>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</si>
  <si>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</si>
  <si>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</si>
  <si>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</si>
  <si>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</si>
  <si>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</si>
  <si>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</si>
  <si>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</si>
  <si>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</si>
  <si>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</si>
  <si>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</si>
  <si>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</si>
  <si>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</si>
  <si>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</si>
  <si>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</si>
  <si>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</si>
  <si>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</si>
  <si>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</si>
  <si>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</si>
  <si>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</si>
  <si>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</si>
  <si>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</si>
  <si>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</si>
  <si>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</si>
  <si>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</si>
  <si>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</si>
  <si>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</si>
  <si>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</si>
  <si>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</si>
  <si>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</si>
  <si>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</si>
  <si>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</si>
  <si>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</si>
  <si>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</si>
  <si>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</si>
  <si>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</si>
  <si>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</si>
  <si>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</si>
  <si>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</si>
  <si>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</si>
  <si>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</si>
  <si>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</si>
  <si>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</si>
  <si>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</si>
  <si>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</si>
  <si>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</si>
  <si>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</si>
  <si>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</si>
  <si>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</si>
  <si>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</si>
  <si>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</si>
  <si>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</si>
  <si>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</si>
  <si>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</si>
  <si>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</si>
  <si>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</si>
  <si>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</si>
  <si>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</si>
  <si>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</si>
  <si>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</si>
  <si>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</si>
  <si>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</si>
  <si>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</si>
  <si>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</si>
  <si>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</si>
  <si>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</si>
  <si>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</si>
  <si>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</si>
  <si>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</si>
  <si>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</si>
  <si>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</si>
  <si>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</si>
  <si>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</si>
  <si>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</si>
  <si>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</si>
  <si>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</si>
  <si>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</si>
  <si>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</si>
  <si>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</si>
  <si>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</si>
  <si>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</si>
  <si>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</si>
  <si>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</si>
  <si>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</si>
  <si>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</si>
  <si>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</si>
  <si>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</si>
  <si>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</si>
  <si>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</si>
  <si>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</si>
  <si>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</si>
  <si>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</si>
  <si>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</si>
  <si>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</si>
  <si>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</si>
  <si>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</si>
  <si>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</si>
  <si>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</si>
  <si>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</si>
  <si>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</si>
  <si>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</si>
  <si>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</si>
  <si>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</si>
  <si>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</si>
  <si>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</si>
  <si>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</si>
  <si>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</si>
  <si>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</si>
  <si>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</si>
  <si>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</si>
  <si>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</si>
  <si>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</si>
  <si>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</si>
  <si>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</si>
  <si>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</si>
  <si>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</si>
  <si>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</si>
  <si>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</si>
  <si>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</si>
  <si>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</si>
  <si>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</si>
  <si>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</si>
  <si>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</si>
  <si>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</si>
  <si>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</si>
  <si>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</si>
  <si>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</si>
  <si>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</si>
  <si>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</si>
  <si>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</si>
  <si>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</si>
  <si>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</si>
  <si>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</si>
  <si>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</si>
  <si>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</si>
  <si>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</si>
  <si>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</si>
  <si>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</si>
  <si>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</si>
  <si>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</si>
  <si>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</si>
  <si>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</si>
  <si>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</si>
  <si>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</si>
  <si>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</si>
  <si>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</si>
  <si>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</si>
  <si>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</si>
  <si>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</si>
  <si>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</si>
  <si>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</si>
  <si>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</si>
  <si>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</si>
  <si>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</si>
  <si>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</si>
  <si>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</si>
  <si>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</si>
  <si>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</si>
  <si>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</si>
  <si>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</si>
  <si>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</si>
  <si>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</si>
  <si>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</si>
  <si>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</si>
  <si>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</si>
  <si>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</si>
  <si>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</si>
  <si>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</si>
  <si>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</si>
  <si>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</si>
  <si>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</si>
  <si>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</si>
  <si>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</si>
  <si>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</si>
  <si>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</si>
  <si>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</si>
  <si>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</si>
  <si>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</si>
  <si>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</si>
  <si>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</si>
  <si>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</si>
  <si>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</si>
  <si>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</si>
  <si>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</si>
  <si>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</si>
  <si>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</si>
  <si>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</si>
  <si>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</si>
  <si>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</si>
  <si>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</si>
  <si>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</si>
  <si>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</si>
  <si>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</si>
  <si>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</si>
  <si>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</si>
  <si>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</si>
  <si>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</si>
  <si>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</si>
  <si>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</si>
  <si>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</si>
  <si>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</si>
  <si>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</si>
  <si>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</si>
  <si>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</si>
  <si>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</si>
  <si>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</si>
  <si>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</si>
  <si>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</si>
  <si>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</si>
  <si>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</si>
  <si>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</si>
  <si>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</si>
  <si>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</si>
  <si>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</si>
  <si>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</si>
  <si>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</si>
  <si>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</si>
  <si>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</si>
  <si>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</si>
  <si>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</si>
  <si>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</si>
  <si>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</si>
  <si>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</si>
  <si>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</si>
  <si>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</si>
  <si>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</si>
  <si>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</si>
  <si>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</si>
  <si>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</si>
  <si>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</si>
  <si>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</si>
  <si>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</si>
  <si>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</si>
  <si>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</si>
  <si>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</si>
  <si>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</si>
  <si>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</si>
  <si>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</si>
  <si>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</si>
  <si>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</si>
  <si>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</si>
  <si>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</si>
  <si>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</si>
  <si>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</si>
  <si>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</si>
  <si>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</si>
  <si>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</si>
  <si>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</si>
  <si>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</si>
  <si>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</si>
  <si>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</si>
  <si>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</si>
  <si>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</si>
  <si>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</si>
  <si>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</si>
  <si>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</si>
  <si>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</si>
  <si>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</si>
  <si>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</si>
  <si>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</si>
  <si>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</si>
  <si>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</si>
  <si>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</si>
  <si>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</si>
  <si>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</si>
  <si>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</si>
  <si>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</si>
  <si>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</si>
  <si>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</si>
  <si>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</si>
  <si>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</si>
  <si>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</si>
  <si>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</si>
  <si>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</si>
  <si>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</si>
  <si>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</si>
  <si>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</si>
  <si>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</si>
  <si>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</si>
  <si>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</si>
  <si>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</si>
  <si>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</si>
  <si>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</si>
  <si>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</si>
  <si>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</si>
  <si>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</si>
  <si>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</si>
  <si>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</si>
  <si>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</si>
  <si>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</si>
  <si>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</si>
  <si>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</si>
  <si>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</si>
  <si>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</si>
  <si>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</si>
  <si>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</si>
  <si>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</si>
  <si>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</si>
  <si>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</si>
  <si>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</si>
  <si>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</si>
  <si>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</si>
  <si>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</si>
  <si>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</si>
  <si>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</si>
  <si>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</si>
  <si>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</si>
  <si>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</si>
  <si>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</si>
  <si>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</si>
  <si>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</si>
  <si>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</si>
  <si>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</si>
  <si>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</si>
  <si>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</si>
  <si>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</si>
  <si>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</si>
  <si>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</si>
  <si>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</si>
  <si>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</si>
  <si>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</si>
  <si>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</si>
  <si>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</si>
  <si>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</si>
  <si>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</si>
  <si>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</si>
  <si>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</si>
  <si>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</si>
  <si>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</si>
  <si>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</si>
  <si>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</si>
  <si>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</si>
  <si>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</si>
  <si>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</si>
  <si>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</si>
  <si>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</si>
  <si>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</si>
  <si>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</si>
  <si>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</si>
  <si>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</si>
  <si>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</si>
  <si>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</si>
  <si>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</si>
  <si>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</si>
  <si>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</si>
  <si>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</si>
  <si>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</si>
  <si>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</si>
  <si>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</si>
  <si>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NELSON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</si>
</sst>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5" zoomScaleNormal="95" workbookViewId="0">
      <pane xSplit="5" ySplit="3" topLeftCell="F516" activePane="bottomRight" state="frozen"/>
      <selection pane="topRight" activeCell="F1" sqref="F1"/>
      <selection pane="bottomLeft" activeCell="A4" sqref="A4"/>
      <selection pane="bottomRight" activeCell="H532" sqref="H53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375</v>
      </c>
      <c r="C2" s="21">
        <v>375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310614.78000000003</v>
      </c>
      <c r="G9" s="18"/>
      <c r="H9" s="18">
        <v>3553.05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189060.33000000002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3881.71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31898.799999999999</v>
      </c>
      <c r="G13" s="18"/>
      <c r="H13" s="18">
        <v>4183.03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v>1158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1750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348145.29000000004</v>
      </c>
      <c r="G19" s="41">
        <f>SUM(G9:G18)</f>
        <v>0</v>
      </c>
      <c r="H19" s="41">
        <f>SUM(H9:H18)</f>
        <v>8894.08</v>
      </c>
      <c r="I19" s="41">
        <f>SUM(I9:I18)</f>
        <v>0</v>
      </c>
      <c r="J19" s="41">
        <f>SUM(J9:J18)</f>
        <v>189060.33000000002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3881.71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19447.900000000001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9927.7999999999993</v>
      </c>
      <c r="G24" s="18"/>
      <c r="H24" s="18">
        <v>110.23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7220.03</v>
      </c>
      <c r="G28" s="18"/>
      <c r="H28" s="18">
        <f>191.09+292.73</f>
        <v>483.82000000000005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36595.730000000003</v>
      </c>
      <c r="G32" s="41">
        <f>SUM(G22:G31)</f>
        <v>0</v>
      </c>
      <c r="H32" s="41">
        <f>SUM(H22:H31)</f>
        <v>4475.76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1750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282908.12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4418.32</v>
      </c>
      <c r="I48" s="18"/>
      <c r="J48" s="13">
        <f>SUM(I459)</f>
        <v>189060.33000000002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26891.439999999999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311549.56</v>
      </c>
      <c r="G51" s="41">
        <f>SUM(G35:G50)</f>
        <v>0</v>
      </c>
      <c r="H51" s="41">
        <f>SUM(H35:H50)</f>
        <v>4418.32</v>
      </c>
      <c r="I51" s="41">
        <f>SUM(I35:I50)</f>
        <v>0</v>
      </c>
      <c r="J51" s="41">
        <f>SUM(J35:J50)</f>
        <v>189060.33000000002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348145.29</v>
      </c>
      <c r="G52" s="41">
        <f>G51+G32</f>
        <v>0</v>
      </c>
      <c r="H52" s="41">
        <f>H51+H32</f>
        <v>8894.08</v>
      </c>
      <c r="I52" s="41">
        <f>I51+I32</f>
        <v>0</v>
      </c>
      <c r="J52" s="41">
        <f>J51+J32</f>
        <v>189060.33000000002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1042104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1042104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19704.240000000002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324642.68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64524.76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389167.44</v>
      </c>
      <c r="G79" s="45" t="s">
        <v>289</v>
      </c>
      <c r="H79" s="41">
        <f>SUM(H63:H78)</f>
        <v>19704.240000000002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161.51</v>
      </c>
      <c r="G96" s="18"/>
      <c r="H96" s="18"/>
      <c r="I96" s="18"/>
      <c r="J96" s="18">
        <v>18.7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466.87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19327.52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11099.21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8421.65-572.76</f>
        <v>7848.8899999999994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38904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18.7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1470175.44</v>
      </c>
      <c r="G112" s="41">
        <f>G60+G111</f>
        <v>0</v>
      </c>
      <c r="H112" s="41">
        <f>H60+H79+H94+H111</f>
        <v>19704.240000000002</v>
      </c>
      <c r="I112" s="41">
        <f>I60+I111</f>
        <v>0</v>
      </c>
      <c r="J112" s="41">
        <f>J60+J111</f>
        <v>18.7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95905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294275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390180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76033.56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76033.56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466213.56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17745.400000000001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>
        <f>12784.02+1799.96</f>
        <v>14583.98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9355.0400000000009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2381.44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2381.44</v>
      </c>
      <c r="G162" s="41">
        <f>SUM(G150:G161)</f>
        <v>0</v>
      </c>
      <c r="H162" s="41">
        <f>SUM(H150:H161)</f>
        <v>41684.42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2381.44</v>
      </c>
      <c r="G169" s="41">
        <f>G147+G162+SUM(G163:G168)</f>
        <v>0</v>
      </c>
      <c r="H169" s="41">
        <f>H147+H162+SUM(H163:H168)</f>
        <v>41684.42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2762.57</v>
      </c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2762.57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2762.57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1938770.44</v>
      </c>
      <c r="G193" s="47">
        <f>G112+G140+G169+G192</f>
        <v>2762.57</v>
      </c>
      <c r="H193" s="47">
        <f>H112+H140+H169+H192</f>
        <v>61388.66</v>
      </c>
      <c r="I193" s="47">
        <f>I112+I140+I169+I192</f>
        <v>0</v>
      </c>
      <c r="J193" s="47">
        <f>J112+J140+J192</f>
        <v>30018.7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235755.3</v>
      </c>
      <c r="G197" s="18">
        <v>91841.87</v>
      </c>
      <c r="H197" s="18">
        <v>24059.33</v>
      </c>
      <c r="I197" s="18">
        <v>18486.61</v>
      </c>
      <c r="J197" s="18">
        <v>2264.8000000000002</v>
      </c>
      <c r="K197" s="18">
        <v>444.03</v>
      </c>
      <c r="L197" s="19">
        <f>SUM(F197:K197)</f>
        <v>372851.94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114164.42</v>
      </c>
      <c r="G198" s="18">
        <v>54649.39</v>
      </c>
      <c r="H198" s="18">
        <v>5155</v>
      </c>
      <c r="I198" s="18">
        <v>615.23</v>
      </c>
      <c r="J198" s="18"/>
      <c r="K198" s="18"/>
      <c r="L198" s="19">
        <f>SUM(F198:K198)</f>
        <v>174584.04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3920+1375</f>
        <v>5295</v>
      </c>
      <c r="G200" s="18">
        <f>388.66+306.86</f>
        <v>695.52</v>
      </c>
      <c r="H200" s="18">
        <v>501.97</v>
      </c>
      <c r="I200" s="18">
        <v>114.48</v>
      </c>
      <c r="J200" s="18"/>
      <c r="K200" s="18"/>
      <c r="L200" s="19">
        <f>SUM(F200:K200)</f>
        <v>6606.97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8010.13+2625</f>
        <v>10635.130000000001</v>
      </c>
      <c r="G202" s="18">
        <f>655.24+214.72</f>
        <v>869.96</v>
      </c>
      <c r="H202" s="18">
        <f>13108.75+19702.24+2118.75+26754.78+6444.5+6826.77</f>
        <v>74955.790000000008</v>
      </c>
      <c r="I202" s="18">
        <f>176.29+375.09+733.95+31.05</f>
        <v>1316.3799999999999</v>
      </c>
      <c r="J202" s="18"/>
      <c r="K202" s="18"/>
      <c r="L202" s="19">
        <f t="shared" ref="L202:L208" si="0">SUM(F202:K202)</f>
        <v>87777.260000000009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8700</v>
      </c>
      <c r="G203" s="18">
        <f>1948.15+1245</f>
        <v>3193.15</v>
      </c>
      <c r="H203" s="18">
        <v>2422.8200000000002</v>
      </c>
      <c r="I203" s="18">
        <f>585.96+2633.15</f>
        <v>3219.11</v>
      </c>
      <c r="J203" s="18"/>
      <c r="K203" s="18"/>
      <c r="L203" s="19">
        <f t="shared" si="0"/>
        <v>17535.079999999998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1717.46+1750</f>
        <v>3467.46</v>
      </c>
      <c r="G204" s="18">
        <f>143.38+143.16</f>
        <v>286.53999999999996</v>
      </c>
      <c r="H204" s="18">
        <f>291.55+100+5900+3484.5+75007</f>
        <v>84783.05</v>
      </c>
      <c r="I204" s="18">
        <v>204.16</v>
      </c>
      <c r="J204" s="18"/>
      <c r="K204" s="18">
        <v>16</v>
      </c>
      <c r="L204" s="19">
        <f t="shared" si="0"/>
        <v>88757.21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153833.64000000001</v>
      </c>
      <c r="G205" s="18">
        <v>30720.43</v>
      </c>
      <c r="H205" s="18">
        <v>8611.7900000000009</v>
      </c>
      <c r="I205" s="18">
        <v>1616.76</v>
      </c>
      <c r="J205" s="18">
        <v>701.83</v>
      </c>
      <c r="K205" s="18"/>
      <c r="L205" s="19">
        <f t="shared" si="0"/>
        <v>195484.45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5769.6</v>
      </c>
      <c r="G207" s="18">
        <v>631.16</v>
      </c>
      <c r="H207" s="18">
        <v>159898.81</v>
      </c>
      <c r="I207" s="18">
        <v>16873.13</v>
      </c>
      <c r="J207" s="18">
        <v>4840.1000000000004</v>
      </c>
      <c r="K207" s="18"/>
      <c r="L207" s="19">
        <f t="shared" si="0"/>
        <v>188012.80000000002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47756.76</v>
      </c>
      <c r="I208" s="18"/>
      <c r="J208" s="18"/>
      <c r="K208" s="18"/>
      <c r="L208" s="19">
        <f t="shared" si="0"/>
        <v>47756.76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757.5</v>
      </c>
      <c r="I209" s="18"/>
      <c r="J209" s="18"/>
      <c r="K209" s="18"/>
      <c r="L209" s="19">
        <f>SUM(F209:K209)</f>
        <v>757.5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537620.54999999993</v>
      </c>
      <c r="G211" s="41">
        <f t="shared" si="1"/>
        <v>182888.02</v>
      </c>
      <c r="H211" s="41">
        <f t="shared" si="1"/>
        <v>408902.82000000007</v>
      </c>
      <c r="I211" s="41">
        <f t="shared" si="1"/>
        <v>42445.86</v>
      </c>
      <c r="J211" s="41">
        <f t="shared" si="1"/>
        <v>7806.7300000000005</v>
      </c>
      <c r="K211" s="41">
        <f t="shared" si="1"/>
        <v>460.03</v>
      </c>
      <c r="L211" s="41">
        <f t="shared" si="1"/>
        <v>1180124.01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67403.61</v>
      </c>
      <c r="I215" s="18"/>
      <c r="J215" s="18"/>
      <c r="K215" s="18"/>
      <c r="L215" s="19">
        <f>SUM(F215:K215)</f>
        <v>67403.61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49626.13</v>
      </c>
      <c r="I216" s="18"/>
      <c r="J216" s="18"/>
      <c r="K216" s="18"/>
      <c r="L216" s="19">
        <f>SUM(F216:K216)</f>
        <v>49626.13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13352+9585</f>
        <v>22937</v>
      </c>
      <c r="I226" s="18"/>
      <c r="J226" s="18"/>
      <c r="K226" s="18"/>
      <c r="L226" s="19">
        <f t="shared" si="2"/>
        <v>22937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139966.74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139966.74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204285.61</v>
      </c>
      <c r="I233" s="18"/>
      <c r="J233" s="18"/>
      <c r="K233" s="18"/>
      <c r="L233" s="19">
        <f>SUM(F233:K233)</f>
        <v>204285.61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128470.76</v>
      </c>
      <c r="I234" s="18"/>
      <c r="J234" s="18"/>
      <c r="K234" s="18"/>
      <c r="L234" s="19">
        <f>SUM(F234:K234)</f>
        <v>128470.76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13351+9585</f>
        <v>22936</v>
      </c>
      <c r="I244" s="18"/>
      <c r="J244" s="18"/>
      <c r="K244" s="18"/>
      <c r="L244" s="19">
        <f t="shared" si="4"/>
        <v>22936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355692.37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355692.37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537620.54999999993</v>
      </c>
      <c r="G257" s="41">
        <f t="shared" si="8"/>
        <v>182888.02</v>
      </c>
      <c r="H257" s="41">
        <f t="shared" si="8"/>
        <v>904561.93</v>
      </c>
      <c r="I257" s="41">
        <f t="shared" si="8"/>
        <v>42445.86</v>
      </c>
      <c r="J257" s="41">
        <f t="shared" si="8"/>
        <v>7806.7300000000005</v>
      </c>
      <c r="K257" s="41">
        <f t="shared" si="8"/>
        <v>460.03</v>
      </c>
      <c r="L257" s="41">
        <f t="shared" si="8"/>
        <v>1675783.12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2762.57</v>
      </c>
      <c r="L263" s="19">
        <f>SUM(F263:K263)</f>
        <v>2762.57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15000+15000</f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32762.57</v>
      </c>
      <c r="L270" s="41">
        <f t="shared" si="9"/>
        <v>32762.57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537620.54999999993</v>
      </c>
      <c r="G271" s="42">
        <f t="shared" si="11"/>
        <v>182888.02</v>
      </c>
      <c r="H271" s="42">
        <f t="shared" si="11"/>
        <v>904561.93</v>
      </c>
      <c r="I271" s="42">
        <f t="shared" si="11"/>
        <v>42445.86</v>
      </c>
      <c r="J271" s="42">
        <f t="shared" si="11"/>
        <v>7806.7300000000005</v>
      </c>
      <c r="K271" s="42">
        <f t="shared" si="11"/>
        <v>33222.6</v>
      </c>
      <c r="L271" s="42">
        <f t="shared" si="11"/>
        <v>1708545.6900000002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8964.48+6023.97+6648</f>
        <v>21636.45</v>
      </c>
      <c r="G276" s="18">
        <f>685.81+47.51+969.37+67.16</f>
        <v>1769.8500000000001</v>
      </c>
      <c r="H276" s="18"/>
      <c r="I276" s="18">
        <v>847.58</v>
      </c>
      <c r="J276" s="18">
        <f>89.63+1485.9+1752.6+16169.87</f>
        <v>19498</v>
      </c>
      <c r="K276" s="18"/>
      <c r="L276" s="19">
        <f>SUM(F276:K276)</f>
        <v>43751.880000000005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1120</v>
      </c>
      <c r="G279" s="18">
        <f>85.68+158.6+5.94</f>
        <v>250.22</v>
      </c>
      <c r="H279" s="18">
        <f>60.71+10.53</f>
        <v>71.239999999999995</v>
      </c>
      <c r="I279" s="18"/>
      <c r="J279" s="18"/>
      <c r="K279" s="18"/>
      <c r="L279" s="19">
        <f>SUM(F279:K279)</f>
        <v>1441.46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f>56.5+89.3+99.7</f>
        <v>245.5</v>
      </c>
      <c r="J281" s="18"/>
      <c r="K281" s="18"/>
      <c r="L281" s="19">
        <f t="shared" ref="L281:L287" si="12">SUM(F281:K281)</f>
        <v>245.5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9105</v>
      </c>
      <c r="I282" s="18"/>
      <c r="J282" s="18"/>
      <c r="K282" s="18"/>
      <c r="L282" s="19">
        <f t="shared" si="12"/>
        <v>9105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1109</v>
      </c>
      <c r="I283" s="18"/>
      <c r="J283" s="18"/>
      <c r="K283" s="18"/>
      <c r="L283" s="19">
        <f t="shared" si="12"/>
        <v>1109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587.66</v>
      </c>
      <c r="L285" s="19">
        <f t="shared" si="12"/>
        <v>587.66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22756.45</v>
      </c>
      <c r="G290" s="42">
        <f t="shared" si="13"/>
        <v>2020.0700000000002</v>
      </c>
      <c r="H290" s="42">
        <f t="shared" si="13"/>
        <v>10285.24</v>
      </c>
      <c r="I290" s="42">
        <f t="shared" si="13"/>
        <v>1093.08</v>
      </c>
      <c r="J290" s="42">
        <f t="shared" si="13"/>
        <v>19498</v>
      </c>
      <c r="K290" s="42">
        <f t="shared" si="13"/>
        <v>587.66</v>
      </c>
      <c r="L290" s="41">
        <f t="shared" si="13"/>
        <v>56240.500000000007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22756.45</v>
      </c>
      <c r="G338" s="41">
        <f t="shared" si="20"/>
        <v>2020.0700000000002</v>
      </c>
      <c r="H338" s="41">
        <f t="shared" si="20"/>
        <v>10285.24</v>
      </c>
      <c r="I338" s="41">
        <f t="shared" si="20"/>
        <v>1093.08</v>
      </c>
      <c r="J338" s="41">
        <f t="shared" si="20"/>
        <v>19498</v>
      </c>
      <c r="K338" s="41">
        <f t="shared" si="20"/>
        <v>587.66</v>
      </c>
      <c r="L338" s="41">
        <f t="shared" si="20"/>
        <v>56240.500000000007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22756.45</v>
      </c>
      <c r="G352" s="41">
        <f>G338</f>
        <v>2020.0700000000002</v>
      </c>
      <c r="H352" s="41">
        <f>H338</f>
        <v>10285.24</v>
      </c>
      <c r="I352" s="41">
        <f>I338</f>
        <v>1093.08</v>
      </c>
      <c r="J352" s="41">
        <f>J338</f>
        <v>19498</v>
      </c>
      <c r="K352" s="47">
        <f>K338+K351</f>
        <v>587.66</v>
      </c>
      <c r="L352" s="41">
        <f>L338+L351</f>
        <v>56240.500000000007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2687.2</v>
      </c>
      <c r="I358" s="18">
        <v>49.9</v>
      </c>
      <c r="J358" s="18">
        <v>25.47</v>
      </c>
      <c r="K358" s="18"/>
      <c r="L358" s="13">
        <f>SUM(F358:K358)</f>
        <v>2762.5699999999997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2687.2</v>
      </c>
      <c r="I362" s="47">
        <f t="shared" si="22"/>
        <v>49.9</v>
      </c>
      <c r="J362" s="47">
        <f t="shared" si="22"/>
        <v>25.47</v>
      </c>
      <c r="K362" s="47">
        <f t="shared" si="22"/>
        <v>0</v>
      </c>
      <c r="L362" s="47">
        <f t="shared" si="22"/>
        <v>2762.5699999999997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49.9</v>
      </c>
      <c r="G368" s="63"/>
      <c r="H368" s="63"/>
      <c r="I368" s="56">
        <f>SUM(F368:H368)</f>
        <v>49.9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49.9</v>
      </c>
      <c r="G369" s="47">
        <f>SUM(G367:G368)</f>
        <v>0</v>
      </c>
      <c r="H369" s="47">
        <f>SUM(H367:H368)</f>
        <v>0</v>
      </c>
      <c r="I369" s="47">
        <f>SUM(I367:I368)</f>
        <v>49.9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15000</v>
      </c>
      <c r="H389" s="18">
        <v>7.52</v>
      </c>
      <c r="I389" s="18"/>
      <c r="J389" s="24" t="s">
        <v>289</v>
      </c>
      <c r="K389" s="24" t="s">
        <v>289</v>
      </c>
      <c r="L389" s="56">
        <f t="shared" si="25"/>
        <v>15007.52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7.52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15007.52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15000</v>
      </c>
      <c r="H397" s="18">
        <v>11.18</v>
      </c>
      <c r="I397" s="18"/>
      <c r="J397" s="24" t="s">
        <v>289</v>
      </c>
      <c r="K397" s="24" t="s">
        <v>289</v>
      </c>
      <c r="L397" s="56">
        <f t="shared" si="26"/>
        <v>15011.18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11.18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15011.18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18.7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30018.7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12535</v>
      </c>
      <c r="I415" s="18"/>
      <c r="J415" s="18"/>
      <c r="K415" s="18"/>
      <c r="L415" s="56">
        <f t="shared" si="27"/>
        <v>12535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12535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12535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12535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12535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71755.87</v>
      </c>
      <c r="G440" s="18">
        <v>117304.46</v>
      </c>
      <c r="H440" s="18"/>
      <c r="I440" s="56">
        <f t="shared" si="33"/>
        <v>189060.33000000002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71755.87</v>
      </c>
      <c r="G446" s="13">
        <f>SUM(G439:G445)</f>
        <v>117304.46</v>
      </c>
      <c r="H446" s="13">
        <f>SUM(H439:H445)</f>
        <v>0</v>
      </c>
      <c r="I446" s="13">
        <f>SUM(I439:I445)</f>
        <v>189060.33000000002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71755.87</v>
      </c>
      <c r="G459" s="18">
        <v>117304.46</v>
      </c>
      <c r="H459" s="18"/>
      <c r="I459" s="56">
        <f t="shared" si="34"/>
        <v>189060.33000000002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71755.87</v>
      </c>
      <c r="G460" s="83">
        <f>SUM(G454:G459)</f>
        <v>117304.46</v>
      </c>
      <c r="H460" s="83">
        <f>SUM(H454:H459)</f>
        <v>0</v>
      </c>
      <c r="I460" s="83">
        <f>SUM(I454:I459)</f>
        <v>189060.33000000002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71755.87</v>
      </c>
      <c r="G461" s="42">
        <f>G452+G460</f>
        <v>117304.46</v>
      </c>
      <c r="H461" s="42">
        <f>H452+H460</f>
        <v>0</v>
      </c>
      <c r="I461" s="42">
        <f>I452+I460</f>
        <v>189060.33000000002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81324.81</v>
      </c>
      <c r="G465" s="18"/>
      <c r="H465" s="18">
        <v>-729.84</v>
      </c>
      <c r="I465" s="18"/>
      <c r="J465" s="18">
        <v>171576.63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1938770.44</v>
      </c>
      <c r="G468" s="18">
        <v>2762.57</v>
      </c>
      <c r="H468" s="18">
        <v>61388.66</v>
      </c>
      <c r="I468" s="18"/>
      <c r="J468" s="18">
        <v>30018.7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1938770.44</v>
      </c>
      <c r="G470" s="53">
        <f>SUM(G468:G469)</f>
        <v>2762.57</v>
      </c>
      <c r="H470" s="53">
        <f>SUM(H468:H469)</f>
        <v>61388.66</v>
      </c>
      <c r="I470" s="53">
        <f>SUM(I468:I469)</f>
        <v>0</v>
      </c>
      <c r="J470" s="53">
        <f>SUM(J468:J469)</f>
        <v>30018.7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1708545.69</v>
      </c>
      <c r="G472" s="18">
        <v>2762.57</v>
      </c>
      <c r="H472" s="18">
        <v>56240.5</v>
      </c>
      <c r="I472" s="18"/>
      <c r="J472" s="18">
        <v>12535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1708545.69</v>
      </c>
      <c r="G474" s="53">
        <f>SUM(G472:G473)</f>
        <v>2762.57</v>
      </c>
      <c r="H474" s="53">
        <f>SUM(H472:H473)</f>
        <v>56240.5</v>
      </c>
      <c r="I474" s="53">
        <f>SUM(I472:I473)</f>
        <v>0</v>
      </c>
      <c r="J474" s="53">
        <f>SUM(J472:J473)</f>
        <v>12535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311549.56000000006</v>
      </c>
      <c r="G476" s="53">
        <f>(G465+G470)- G474</f>
        <v>0</v>
      </c>
      <c r="H476" s="53">
        <f>(H465+H470)- H474</f>
        <v>4418.320000000007</v>
      </c>
      <c r="I476" s="53">
        <f>(I465+I470)- I474</f>
        <v>0</v>
      </c>
      <c r="J476" s="53">
        <f>(J465+J470)- J474</f>
        <v>189060.33000000002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52025.06+62139.36</f>
        <v>114164.42</v>
      </c>
      <c r="G521" s="18">
        <f>36134.58+1980.56+228.4+381.31+7952.68+7366.72+605.14</f>
        <v>54649.39</v>
      </c>
      <c r="H521" s="18">
        <v>5155</v>
      </c>
      <c r="I521" s="18">
        <v>615.23</v>
      </c>
      <c r="J521" s="18"/>
      <c r="K521" s="18"/>
      <c r="L521" s="88">
        <f>SUM(F521:K521)</f>
        <v>174584.04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49626.13</v>
      </c>
      <c r="I522" s="18"/>
      <c r="J522" s="18"/>
      <c r="K522" s="18"/>
      <c r="L522" s="88">
        <f>SUM(F522:K522)</f>
        <v>49626.13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128470.76</v>
      </c>
      <c r="I523" s="18"/>
      <c r="J523" s="18"/>
      <c r="K523" s="18"/>
      <c r="L523" s="88">
        <f>SUM(F523:K523)</f>
        <v>128470.76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114164.42</v>
      </c>
      <c r="G524" s="108">
        <f t="shared" ref="G524:L524" si="36">SUM(G521:G523)</f>
        <v>54649.39</v>
      </c>
      <c r="H524" s="108">
        <f t="shared" si="36"/>
        <v>183251.88999999998</v>
      </c>
      <c r="I524" s="108">
        <f t="shared" si="36"/>
        <v>615.23</v>
      </c>
      <c r="J524" s="108">
        <f t="shared" si="36"/>
        <v>0</v>
      </c>
      <c r="K524" s="108">
        <f t="shared" si="36"/>
        <v>0</v>
      </c>
      <c r="L524" s="89">
        <f t="shared" si="36"/>
        <v>352680.93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2625</f>
        <v>2625</v>
      </c>
      <c r="G526" s="18">
        <f>200.81+13.91</f>
        <v>214.72</v>
      </c>
      <c r="H526" s="18">
        <f>2118.75+26754.78+6444.5+6826.77+9105</f>
        <v>51249.8</v>
      </c>
      <c r="I526" s="18">
        <f>733.95+31.05</f>
        <v>765</v>
      </c>
      <c r="J526" s="18"/>
      <c r="K526" s="18"/>
      <c r="L526" s="88">
        <f>SUM(F526:K526)</f>
        <v>54854.520000000004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2625</v>
      </c>
      <c r="G529" s="89">
        <f t="shared" ref="G529:L529" si="37">SUM(G526:G528)</f>
        <v>214.72</v>
      </c>
      <c r="H529" s="89">
        <f t="shared" si="37"/>
        <v>51249.8</v>
      </c>
      <c r="I529" s="89">
        <f t="shared" si="37"/>
        <v>765</v>
      </c>
      <c r="J529" s="89">
        <f t="shared" si="37"/>
        <v>0</v>
      </c>
      <c r="K529" s="89">
        <f t="shared" si="37"/>
        <v>0</v>
      </c>
      <c r="L529" s="89">
        <f t="shared" si="37"/>
        <v>54854.520000000004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6182</v>
      </c>
      <c r="I531" s="18"/>
      <c r="J531" s="18"/>
      <c r="K531" s="18">
        <f>112+138.04</f>
        <v>250.04</v>
      </c>
      <c r="L531" s="88">
        <f>SUM(F531:K531)</f>
        <v>6432.04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6182</v>
      </c>
      <c r="I534" s="89">
        <f t="shared" si="38"/>
        <v>0</v>
      </c>
      <c r="J534" s="89">
        <f t="shared" si="38"/>
        <v>0</v>
      </c>
      <c r="K534" s="89">
        <f t="shared" si="38"/>
        <v>250.04</v>
      </c>
      <c r="L534" s="89">
        <f t="shared" si="38"/>
        <v>6432.04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823.76</v>
      </c>
      <c r="I541" s="18"/>
      <c r="J541" s="18"/>
      <c r="K541" s="18"/>
      <c r="L541" s="88">
        <f>SUM(F541:K541)</f>
        <v>823.76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823.76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823.76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116789.42</v>
      </c>
      <c r="G545" s="89">
        <f t="shared" ref="G545:L545" si="41">G524+G529+G534+G539+G544</f>
        <v>54864.11</v>
      </c>
      <c r="H545" s="89">
        <f t="shared" si="41"/>
        <v>241507.45</v>
      </c>
      <c r="I545" s="89">
        <f t="shared" si="41"/>
        <v>1380.23</v>
      </c>
      <c r="J545" s="89">
        <f t="shared" si="41"/>
        <v>0</v>
      </c>
      <c r="K545" s="89">
        <f t="shared" si="41"/>
        <v>250.04</v>
      </c>
      <c r="L545" s="89">
        <f t="shared" si="41"/>
        <v>414791.25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174584.04</v>
      </c>
      <c r="G549" s="87">
        <f>L526</f>
        <v>54854.520000000004</v>
      </c>
      <c r="H549" s="87">
        <f>L531</f>
        <v>6432.04</v>
      </c>
      <c r="I549" s="87">
        <f>L536</f>
        <v>0</v>
      </c>
      <c r="J549" s="87">
        <f>L541</f>
        <v>823.76</v>
      </c>
      <c r="K549" s="87">
        <f>SUM(F549:J549)</f>
        <v>236694.36000000002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49626.13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49626.13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128470.76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128470.76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352680.93</v>
      </c>
      <c r="G552" s="89">
        <f t="shared" si="42"/>
        <v>54854.520000000004</v>
      </c>
      <c r="H552" s="89">
        <f t="shared" si="42"/>
        <v>6432.04</v>
      </c>
      <c r="I552" s="89">
        <f t="shared" si="42"/>
        <v>0</v>
      </c>
      <c r="J552" s="89">
        <f t="shared" si="42"/>
        <v>823.76</v>
      </c>
      <c r="K552" s="89">
        <f t="shared" si="42"/>
        <v>414791.25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67403.61</v>
      </c>
      <c r="H575" s="18">
        <v>204285.61</v>
      </c>
      <c r="I575" s="87">
        <f>SUM(F575:H575)</f>
        <v>271689.21999999997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5155</v>
      </c>
      <c r="G579" s="18">
        <v>49626.13</v>
      </c>
      <c r="H579" s="18">
        <v>128470.76</v>
      </c>
      <c r="I579" s="87">
        <f t="shared" si="47"/>
        <v>183251.88999999998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27670.5</v>
      </c>
      <c r="I591" s="18">
        <v>13352</v>
      </c>
      <c r="J591" s="18">
        <v>13351</v>
      </c>
      <c r="K591" s="104">
        <f t="shared" ref="K591:K597" si="48">SUM(H591:J591)</f>
        <v>54373.5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823.76</v>
      </c>
      <c r="I592" s="18"/>
      <c r="J592" s="18"/>
      <c r="K592" s="104">
        <f t="shared" si="48"/>
        <v>823.76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92.5</v>
      </c>
      <c r="I595" s="18"/>
      <c r="J595" s="18"/>
      <c r="K595" s="104">
        <f t="shared" si="48"/>
        <v>92.5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19170</v>
      </c>
      <c r="I597" s="18">
        <v>9585</v>
      </c>
      <c r="J597" s="18">
        <v>9585</v>
      </c>
      <c r="K597" s="104">
        <f t="shared" si="48"/>
        <v>38340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47756.759999999995</v>
      </c>
      <c r="I598" s="108">
        <f>SUM(I591:I597)</f>
        <v>22937</v>
      </c>
      <c r="J598" s="108">
        <f>SUM(J591:J597)</f>
        <v>22936</v>
      </c>
      <c r="K598" s="108">
        <f>SUM(K591:K597)</f>
        <v>93629.760000000009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27304.73</v>
      </c>
      <c r="I604" s="18"/>
      <c r="J604" s="18"/>
      <c r="K604" s="104">
        <f>SUM(H604:J604)</f>
        <v>27304.73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27304.73</v>
      </c>
      <c r="I605" s="108">
        <f>SUM(I602:I604)</f>
        <v>0</v>
      </c>
      <c r="J605" s="108">
        <f>SUM(J602:J604)</f>
        <v>0</v>
      </c>
      <c r="K605" s="108">
        <f>SUM(K602:K604)</f>
        <v>27304.73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1375+1120</f>
        <v>2495</v>
      </c>
      <c r="G611" s="18">
        <f>105.19+194.69+6.98+85.68+158.6+5.94</f>
        <v>557.08000000000004</v>
      </c>
      <c r="H611" s="18">
        <f>60.71+10.53</f>
        <v>71.239999999999995</v>
      </c>
      <c r="I611" s="18"/>
      <c r="J611" s="18"/>
      <c r="K611" s="18"/>
      <c r="L611" s="88">
        <f>SUM(F611:K611)</f>
        <v>3123.3199999999997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2495</v>
      </c>
      <c r="G614" s="108">
        <f t="shared" si="49"/>
        <v>557.08000000000004</v>
      </c>
      <c r="H614" s="108">
        <f t="shared" si="49"/>
        <v>71.239999999999995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3123.3199999999997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348145.29000000004</v>
      </c>
      <c r="H617" s="109">
        <f>SUM(F52)</f>
        <v>348145.29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8894.08</v>
      </c>
      <c r="H619" s="109">
        <f>SUM(H52)</f>
        <v>8894.08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189060.33000000002</v>
      </c>
      <c r="H621" s="109">
        <f>SUM(J52)</f>
        <v>189060.33000000002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311549.56</v>
      </c>
      <c r="H622" s="109">
        <f>F476</f>
        <v>311549.56000000006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4418.32</v>
      </c>
      <c r="H624" s="109">
        <f>H476</f>
        <v>4418.320000000007</v>
      </c>
      <c r="I624" s="121" t="s">
        <v>103</v>
      </c>
      <c r="J624" s="109">
        <f t="shared" si="50"/>
        <v>-7.2759576141834259E-12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189060.33000000002</v>
      </c>
      <c r="H626" s="109">
        <f>J476</f>
        <v>189060.33000000002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1938770.44</v>
      </c>
      <c r="H627" s="104">
        <f>SUM(F468)</f>
        <v>1938770.44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2762.57</v>
      </c>
      <c r="H628" s="104">
        <f>SUM(G468)</f>
        <v>2762.57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61388.66</v>
      </c>
      <c r="H629" s="104">
        <f>SUM(H468)</f>
        <v>61388.66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30018.7</v>
      </c>
      <c r="H631" s="104">
        <f>SUM(J468)</f>
        <v>30018.7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1708545.6900000002</v>
      </c>
      <c r="H632" s="104">
        <f>SUM(F472)</f>
        <v>1708545.69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56240.500000000007</v>
      </c>
      <c r="H633" s="104">
        <f>SUM(H472)</f>
        <v>56240.5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49.9</v>
      </c>
      <c r="H634" s="104">
        <f>I369</f>
        <v>49.9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2762.5699999999997</v>
      </c>
      <c r="H635" s="104">
        <f>SUM(G472)</f>
        <v>2762.57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30018.7</v>
      </c>
      <c r="H637" s="164">
        <f>SUM(J468)</f>
        <v>30018.7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12535</v>
      </c>
      <c r="H638" s="164">
        <f>SUM(J472)</f>
        <v>12535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71755.87</v>
      </c>
      <c r="H639" s="104">
        <f>SUM(F461)</f>
        <v>71755.87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117304.46</v>
      </c>
      <c r="H640" s="104">
        <f>SUM(G461)</f>
        <v>117304.46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189060.33000000002</v>
      </c>
      <c r="H642" s="104">
        <f>SUM(I461)</f>
        <v>189060.33000000002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18.7</v>
      </c>
      <c r="H644" s="104">
        <f>H408</f>
        <v>18.7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30018.7</v>
      </c>
      <c r="H646" s="104">
        <f>L408</f>
        <v>30018.7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93629.760000000009</v>
      </c>
      <c r="H647" s="104">
        <f>L208+L226+L244</f>
        <v>93629.760000000009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27304.73</v>
      </c>
      <c r="H648" s="104">
        <f>(J257+J338)-(J255+J336)</f>
        <v>27304.73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47756.76</v>
      </c>
      <c r="H649" s="104">
        <f>H598</f>
        <v>47756.759999999995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22937</v>
      </c>
      <c r="H650" s="104">
        <f>I598</f>
        <v>22937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22936</v>
      </c>
      <c r="H651" s="104">
        <f>J598</f>
        <v>22936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2762.57</v>
      </c>
      <c r="H652" s="104">
        <f>K263+K345</f>
        <v>2762.57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1239127.08</v>
      </c>
      <c r="G660" s="19">
        <f>(L229+L309+L359)</f>
        <v>139966.74</v>
      </c>
      <c r="H660" s="19">
        <f>(L247+L328+L360)</f>
        <v>355692.37</v>
      </c>
      <c r="I660" s="19">
        <f>SUM(F660:H660)</f>
        <v>1734786.19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47756.76</v>
      </c>
      <c r="G662" s="19">
        <f>(L226+L306)-(J226+J306)</f>
        <v>22937</v>
      </c>
      <c r="H662" s="19">
        <f>(L244+L325)-(J244+J325)</f>
        <v>22936</v>
      </c>
      <c r="I662" s="19">
        <f>SUM(F662:H662)</f>
        <v>93629.760000000009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35583.050000000003</v>
      </c>
      <c r="G663" s="199">
        <f>SUM(G575:G587)+SUM(I602:I604)+L612</f>
        <v>117029.73999999999</v>
      </c>
      <c r="H663" s="199">
        <f>SUM(H575:H587)+SUM(J602:J604)+L613</f>
        <v>332756.37</v>
      </c>
      <c r="I663" s="19">
        <f>SUM(F663:H663)</f>
        <v>485369.16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1155787.27</v>
      </c>
      <c r="G664" s="19">
        <f>G660-SUM(G661:G663)</f>
        <v>0</v>
      </c>
      <c r="H664" s="19">
        <f>H660-SUM(H661:H663)</f>
        <v>0</v>
      </c>
      <c r="I664" s="19">
        <f>I660-SUM(I661:I663)</f>
        <v>1155787.27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61.76</v>
      </c>
      <c r="G665" s="248"/>
      <c r="H665" s="248"/>
      <c r="I665" s="19">
        <f>SUM(F665:H665)</f>
        <v>61.76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18714.169999999998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18714.169999999998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18714.169999999998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18714.169999999998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NELSON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257391.75</v>
      </c>
      <c r="C9" s="229">
        <f>'DOE25'!G197+'DOE25'!G215+'DOE25'!G233+'DOE25'!G276+'DOE25'!G295+'DOE25'!G314</f>
        <v>93611.72</v>
      </c>
    </row>
    <row r="10" spans="1:3" x14ac:dyDescent="0.2">
      <c r="A10" t="s">
        <v>779</v>
      </c>
      <c r="B10" s="240">
        <v>241779.27</v>
      </c>
      <c r="C10" s="240">
        <v>87933.56</v>
      </c>
    </row>
    <row r="11" spans="1:3" x14ac:dyDescent="0.2">
      <c r="A11" t="s">
        <v>780</v>
      </c>
      <c r="B11" s="240">
        <v>15612.48</v>
      </c>
      <c r="C11" s="240">
        <v>5678.16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257391.75</v>
      </c>
      <c r="C13" s="231">
        <f>SUM(C10:C12)</f>
        <v>93611.72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114164.42</v>
      </c>
      <c r="C18" s="229">
        <f>'DOE25'!G198+'DOE25'!G216+'DOE25'!G234+'DOE25'!G277+'DOE25'!G296+'DOE25'!G315</f>
        <v>54649.39</v>
      </c>
    </row>
    <row r="19" spans="1:3" x14ac:dyDescent="0.2">
      <c r="A19" t="s">
        <v>779</v>
      </c>
      <c r="B19" s="240">
        <v>52025.06</v>
      </c>
      <c r="C19" s="240">
        <v>24903.89</v>
      </c>
    </row>
    <row r="20" spans="1:3" x14ac:dyDescent="0.2">
      <c r="A20" t="s">
        <v>780</v>
      </c>
      <c r="B20" s="240">
        <v>62139.360000000001</v>
      </c>
      <c r="C20" s="240">
        <v>29745.5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114164.42</v>
      </c>
      <c r="C22" s="231">
        <f>SUM(C19:C21)</f>
        <v>54649.39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6415</v>
      </c>
      <c r="C36" s="235">
        <f>'DOE25'!G200+'DOE25'!G218+'DOE25'!G236+'DOE25'!G279+'DOE25'!G298+'DOE25'!G317</f>
        <v>945.74</v>
      </c>
    </row>
    <row r="37" spans="1:3" x14ac:dyDescent="0.2">
      <c r="A37" t="s">
        <v>779</v>
      </c>
      <c r="B37" s="240">
        <v>6415</v>
      </c>
      <c r="C37" s="240">
        <v>945.74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6415</v>
      </c>
      <c r="C40" s="231">
        <f>SUM(C37:C39)</f>
        <v>945.74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NELSON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1003829.0599999999</v>
      </c>
      <c r="D5" s="20">
        <f>SUM('DOE25'!L197:L200)+SUM('DOE25'!L215:L218)+SUM('DOE25'!L233:L236)-F5-G5</f>
        <v>1001120.2299999999</v>
      </c>
      <c r="E5" s="243"/>
      <c r="F5" s="255">
        <f>SUM('DOE25'!J197:J200)+SUM('DOE25'!J215:J218)+SUM('DOE25'!J233:J236)</f>
        <v>2264.8000000000002</v>
      </c>
      <c r="G5" s="53">
        <f>SUM('DOE25'!K197:K200)+SUM('DOE25'!K215:K218)+SUM('DOE25'!K233:K236)</f>
        <v>444.03</v>
      </c>
      <c r="H5" s="259"/>
    </row>
    <row r="6" spans="1:9" x14ac:dyDescent="0.2">
      <c r="A6" s="32">
        <v>2100</v>
      </c>
      <c r="B6" t="s">
        <v>801</v>
      </c>
      <c r="C6" s="245">
        <f t="shared" si="0"/>
        <v>87777.260000000009</v>
      </c>
      <c r="D6" s="20">
        <f>'DOE25'!L202+'DOE25'!L220+'DOE25'!L238-F6-G6</f>
        <v>87777.260000000009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17535.079999999998</v>
      </c>
      <c r="D7" s="20">
        <f>'DOE25'!L203+'DOE25'!L221+'DOE25'!L239-F7-G7</f>
        <v>17535.079999999998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63532</v>
      </c>
      <c r="D8" s="243"/>
      <c r="E8" s="20">
        <f>'DOE25'!L204+'DOE25'!L222+'DOE25'!L240-F8-G8-D9-D11</f>
        <v>63516</v>
      </c>
      <c r="F8" s="255">
        <f>'DOE25'!J204+'DOE25'!J222+'DOE25'!J240</f>
        <v>0</v>
      </c>
      <c r="G8" s="53">
        <f>'DOE25'!K204+'DOE25'!K222+'DOE25'!K240</f>
        <v>16</v>
      </c>
      <c r="H8" s="259"/>
    </row>
    <row r="9" spans="1:9" x14ac:dyDescent="0.2">
      <c r="A9" s="32">
        <v>2310</v>
      </c>
      <c r="B9" t="s">
        <v>818</v>
      </c>
      <c r="C9" s="245">
        <f t="shared" si="0"/>
        <v>7850.2099999999991</v>
      </c>
      <c r="D9" s="244">
        <f>13750.21-5900</f>
        <v>7850.2099999999991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5900</v>
      </c>
      <c r="D10" s="243"/>
      <c r="E10" s="244">
        <v>5900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17375</v>
      </c>
      <c r="D11" s="244">
        <v>17375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195484.45</v>
      </c>
      <c r="D12" s="20">
        <f>'DOE25'!L205+'DOE25'!L223+'DOE25'!L241-F12-G12</f>
        <v>194782.62000000002</v>
      </c>
      <c r="E12" s="243"/>
      <c r="F12" s="255">
        <f>'DOE25'!J205+'DOE25'!J223+'DOE25'!J241</f>
        <v>701.83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188012.80000000002</v>
      </c>
      <c r="D14" s="20">
        <f>'DOE25'!L207+'DOE25'!L225+'DOE25'!L243-F14-G14</f>
        <v>183172.7</v>
      </c>
      <c r="E14" s="243"/>
      <c r="F14" s="255">
        <f>'DOE25'!J207+'DOE25'!J225+'DOE25'!J243</f>
        <v>4840.1000000000004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93629.760000000009</v>
      </c>
      <c r="D15" s="20">
        <f>'DOE25'!L208+'DOE25'!L226+'DOE25'!L244-F15-G15</f>
        <v>93629.760000000009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757.5</v>
      </c>
      <c r="D16" s="243"/>
      <c r="E16" s="20">
        <f>'DOE25'!L209+'DOE25'!L227+'DOE25'!L245-F16-G16</f>
        <v>757.5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2762.5699999999997</v>
      </c>
      <c r="D29" s="20">
        <f>'DOE25'!L358+'DOE25'!L359+'DOE25'!L360-'DOE25'!I367-F29-G29</f>
        <v>2737.1</v>
      </c>
      <c r="E29" s="243"/>
      <c r="F29" s="255">
        <f>'DOE25'!J358+'DOE25'!J359+'DOE25'!J360</f>
        <v>25.47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56240.500000000007</v>
      </c>
      <c r="D31" s="20">
        <f>'DOE25'!L290+'DOE25'!L309+'DOE25'!L328+'DOE25'!L333+'DOE25'!L334+'DOE25'!L335-F31-G31</f>
        <v>36154.840000000004</v>
      </c>
      <c r="E31" s="243"/>
      <c r="F31" s="255">
        <f>'DOE25'!J290+'DOE25'!J309+'DOE25'!J328+'DOE25'!J333+'DOE25'!J334+'DOE25'!J335</f>
        <v>19498</v>
      </c>
      <c r="G31" s="53">
        <f>'DOE25'!K290+'DOE25'!K309+'DOE25'!K328+'DOE25'!K333+'DOE25'!K334+'DOE25'!K335</f>
        <v>587.66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1642134.8</v>
      </c>
      <c r="E33" s="246">
        <f>SUM(E5:E31)</f>
        <v>70173.5</v>
      </c>
      <c r="F33" s="246">
        <f>SUM(F5:F31)</f>
        <v>27330.2</v>
      </c>
      <c r="G33" s="246">
        <f>SUM(G5:G31)</f>
        <v>1047.69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70173.5</v>
      </c>
      <c r="E35" s="249"/>
    </row>
    <row r="36" spans="2:8" ht="12" thickTop="1" x14ac:dyDescent="0.2">
      <c r="B36" t="s">
        <v>815</v>
      </c>
      <c r="D36" s="20">
        <f>D33</f>
        <v>1642134.8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NELSON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310614.78000000003</v>
      </c>
      <c r="D8" s="95">
        <f>'DOE25'!G9</f>
        <v>0</v>
      </c>
      <c r="E8" s="95">
        <f>'DOE25'!H9</f>
        <v>3553.05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189060.33000000002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3881.71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31898.799999999999</v>
      </c>
      <c r="D12" s="95">
        <f>'DOE25'!G13</f>
        <v>0</v>
      </c>
      <c r="E12" s="95">
        <f>'DOE25'!H13</f>
        <v>4183.03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1158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348145.29000000004</v>
      </c>
      <c r="D18" s="41">
        <f>SUM(D8:D17)</f>
        <v>0</v>
      </c>
      <c r="E18" s="41">
        <f>SUM(E8:E17)</f>
        <v>8894.08</v>
      </c>
      <c r="F18" s="41">
        <f>SUM(F8:F17)</f>
        <v>0</v>
      </c>
      <c r="G18" s="41">
        <f>SUM(G8:G17)</f>
        <v>189060.33000000002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3881.71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19447.900000000001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9927.7999999999993</v>
      </c>
      <c r="D23" s="95">
        <f>'DOE25'!G24</f>
        <v>0</v>
      </c>
      <c r="E23" s="95">
        <f>'DOE25'!H24</f>
        <v>110.23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7220.03</v>
      </c>
      <c r="D27" s="95">
        <f>'DOE25'!G28</f>
        <v>0</v>
      </c>
      <c r="E27" s="95">
        <f>'DOE25'!H28</f>
        <v>483.82000000000005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36595.730000000003</v>
      </c>
      <c r="D31" s="41">
        <f>SUM(D21:D30)</f>
        <v>0</v>
      </c>
      <c r="E31" s="41">
        <f>SUM(E21:E30)</f>
        <v>4475.76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1750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282908.12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4418.32</v>
      </c>
      <c r="F47" s="95">
        <f>'DOE25'!I48</f>
        <v>0</v>
      </c>
      <c r="G47" s="95">
        <f>'DOE25'!J48</f>
        <v>189060.33000000002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26891.439999999999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311549.56</v>
      </c>
      <c r="D50" s="41">
        <f>SUM(D34:D49)</f>
        <v>0</v>
      </c>
      <c r="E50" s="41">
        <f>SUM(E34:E49)</f>
        <v>4418.32</v>
      </c>
      <c r="F50" s="41">
        <f>SUM(F34:F49)</f>
        <v>0</v>
      </c>
      <c r="G50" s="41">
        <f>SUM(G34:G49)</f>
        <v>189060.33000000002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348145.29</v>
      </c>
      <c r="D51" s="41">
        <f>D50+D31</f>
        <v>0</v>
      </c>
      <c r="E51" s="41">
        <f>E50+E31</f>
        <v>8894.08</v>
      </c>
      <c r="F51" s="41">
        <f>F50+F31</f>
        <v>0</v>
      </c>
      <c r="G51" s="41">
        <f>G50+G31</f>
        <v>189060.33000000002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1042104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389167.44</v>
      </c>
      <c r="D57" s="24" t="s">
        <v>289</v>
      </c>
      <c r="E57" s="95">
        <f>'DOE25'!H79</f>
        <v>19704.240000000002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161.51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18.7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38742.49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428071.44</v>
      </c>
      <c r="D62" s="130">
        <f>SUM(D57:D61)</f>
        <v>0</v>
      </c>
      <c r="E62" s="130">
        <f>SUM(E57:E61)</f>
        <v>19704.240000000002</v>
      </c>
      <c r="F62" s="130">
        <f>SUM(F57:F61)</f>
        <v>0</v>
      </c>
      <c r="G62" s="130">
        <f>SUM(G57:G61)</f>
        <v>18.7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1470175.44</v>
      </c>
      <c r="D63" s="22">
        <f>D56+D62</f>
        <v>0</v>
      </c>
      <c r="E63" s="22">
        <f>E56+E62</f>
        <v>19704.240000000002</v>
      </c>
      <c r="F63" s="22">
        <f>F56+F62</f>
        <v>0</v>
      </c>
      <c r="G63" s="22">
        <f>G56+G62</f>
        <v>18.7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95905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294275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390180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76033.56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76033.56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466213.56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32329.38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2381.44</v>
      </c>
      <c r="D88" s="95">
        <f>SUM('DOE25'!G153:G161)</f>
        <v>0</v>
      </c>
      <c r="E88" s="95">
        <f>SUM('DOE25'!H153:H161)</f>
        <v>9355.0400000000009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2381.44</v>
      </c>
      <c r="D91" s="131">
        <f>SUM(D85:D90)</f>
        <v>0</v>
      </c>
      <c r="E91" s="131">
        <f>SUM(E85:E90)</f>
        <v>41684.42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2762.57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2762.57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1938770.44</v>
      </c>
      <c r="D104" s="86">
        <f>D63+D81+D91+D103</f>
        <v>2762.57</v>
      </c>
      <c r="E104" s="86">
        <f>E63+E81+E91+E103</f>
        <v>61388.66</v>
      </c>
      <c r="F104" s="86">
        <f>F63+F81+F91+F103</f>
        <v>0</v>
      </c>
      <c r="G104" s="86">
        <f>G63+G81+G103</f>
        <v>30018.7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644541.15999999992</v>
      </c>
      <c r="D109" s="24" t="s">
        <v>289</v>
      </c>
      <c r="E109" s="95">
        <f>('DOE25'!L276)+('DOE25'!L295)+('DOE25'!L314)</f>
        <v>43751.880000000005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352680.93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6606.97</v>
      </c>
      <c r="D112" s="24" t="s">
        <v>289</v>
      </c>
      <c r="E112" s="95">
        <f>+('DOE25'!L279)+('DOE25'!L298)+('DOE25'!L317)</f>
        <v>1441.46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1003829.0599999998</v>
      </c>
      <c r="D115" s="86">
        <f>SUM(D109:D114)</f>
        <v>0</v>
      </c>
      <c r="E115" s="86">
        <f>SUM(E109:E114)</f>
        <v>45193.340000000004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87777.260000000009</v>
      </c>
      <c r="D118" s="24" t="s">
        <v>289</v>
      </c>
      <c r="E118" s="95">
        <f>+('DOE25'!L281)+('DOE25'!L300)+('DOE25'!L319)</f>
        <v>245.5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17535.079999999998</v>
      </c>
      <c r="D119" s="24" t="s">
        <v>289</v>
      </c>
      <c r="E119" s="95">
        <f>+('DOE25'!L282)+('DOE25'!L301)+('DOE25'!L320)</f>
        <v>9105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88757.21</v>
      </c>
      <c r="D120" s="24" t="s">
        <v>289</v>
      </c>
      <c r="E120" s="95">
        <f>+('DOE25'!L283)+('DOE25'!L302)+('DOE25'!L321)</f>
        <v>1109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195484.45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587.66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188012.80000000002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93629.760000000009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757.5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2762.5699999999997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671954.06</v>
      </c>
      <c r="D128" s="86">
        <f>SUM(D118:D127)</f>
        <v>2762.5699999999997</v>
      </c>
      <c r="E128" s="86">
        <f>SUM(E118:E127)</f>
        <v>11047.16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2762.57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15007.52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15011.18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-18.700000000000728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32762.570000000003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1708545.69</v>
      </c>
      <c r="D145" s="86">
        <f>(D115+D128+D144)</f>
        <v>2762.5699999999997</v>
      </c>
      <c r="E145" s="86">
        <f>(E115+E128+E144)</f>
        <v>56240.5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NELSON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18714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18714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688293</v>
      </c>
      <c r="D10" s="182">
        <f>ROUND((C10/$C$28)*100,1)</f>
        <v>39.700000000000003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352681</v>
      </c>
      <c r="D11" s="182">
        <f>ROUND((C11/$C$28)*100,1)</f>
        <v>20.3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8048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88023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26640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90624</v>
      </c>
      <c r="D17" s="182">
        <f t="shared" si="0"/>
        <v>5.2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195484</v>
      </c>
      <c r="D18" s="182">
        <f t="shared" si="0"/>
        <v>11.3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588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188013</v>
      </c>
      <c r="D20" s="182">
        <f t="shared" si="0"/>
        <v>10.8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93630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2763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1734787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1734787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1042104</v>
      </c>
      <c r="D35" s="182">
        <f t="shared" ref="D35:D40" si="1">ROUND((C35/$C$41)*100,1)</f>
        <v>52.1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447794.37999999989</v>
      </c>
      <c r="D36" s="182">
        <f t="shared" si="1"/>
        <v>22.4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390180</v>
      </c>
      <c r="D37" s="182">
        <f t="shared" si="1"/>
        <v>19.5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76034</v>
      </c>
      <c r="D38" s="182">
        <f t="shared" si="1"/>
        <v>3.8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44066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2000178.38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NELSON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2015-09-03T16:38:23Z</cp:lastPrinted>
  <dcterms:created xsi:type="dcterms:W3CDTF">1997-12-04T19:04:30Z</dcterms:created>
  <dcterms:modified xsi:type="dcterms:W3CDTF">2015-10-01T13:54:36Z</dcterms:modified>
</cp:coreProperties>
</file>