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-75" windowWidth="17700" windowHeight="129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73" i="1" l="1"/>
  <c r="G440" i="1"/>
  <c r="J465" i="1" l="1"/>
  <c r="G459" i="1" l="1"/>
  <c r="G450" i="1"/>
  <c r="F12" i="1"/>
  <c r="F50" i="1"/>
  <c r="F472" i="1"/>
  <c r="F473" i="1"/>
  <c r="C28" i="2" l="1"/>
  <c r="G474" i="1" l="1"/>
  <c r="C27" i="2"/>
  <c r="F49" i="1" l="1"/>
  <c r="K426" i="1" l="1"/>
  <c r="J472" i="1"/>
  <c r="F468" i="1"/>
  <c r="H13" i="1" l="1"/>
  <c r="F14" i="1" l="1"/>
  <c r="F24" i="1"/>
  <c r="F9" i="1"/>
  <c r="G45" i="1"/>
  <c r="G9" i="1"/>
  <c r="G468" i="1"/>
  <c r="K263" i="1"/>
  <c r="G179" i="1"/>
  <c r="G158" i="1"/>
  <c r="F10" i="1"/>
  <c r="H145" i="1" l="1"/>
  <c r="H468" i="1"/>
  <c r="J604" i="1"/>
  <c r="I604" i="1"/>
  <c r="H604" i="1"/>
  <c r="G439" i="1"/>
  <c r="G523" i="1" l="1"/>
  <c r="F523" i="1"/>
  <c r="H527" i="1"/>
  <c r="G527" i="1"/>
  <c r="F522" i="1"/>
  <c r="G522" i="1"/>
  <c r="H526" i="1"/>
  <c r="G526" i="1"/>
  <c r="F526" i="1"/>
  <c r="H521" i="1"/>
  <c r="G521" i="1"/>
  <c r="F521" i="1"/>
  <c r="F665" i="1" l="1"/>
  <c r="F498" i="1"/>
  <c r="D11" i="13"/>
  <c r="H613" i="1"/>
  <c r="F109" i="1"/>
  <c r="H358" i="1"/>
  <c r="H359" i="1"/>
  <c r="H36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E123" i="2" s="1"/>
  <c r="L325" i="1"/>
  <c r="L326" i="1"/>
  <c r="L333" i="1"/>
  <c r="L334" i="1"/>
  <c r="L335" i="1"/>
  <c r="L260" i="1"/>
  <c r="C131" i="2" s="1"/>
  <c r="L261" i="1"/>
  <c r="L341" i="1"/>
  <c r="L342" i="1"/>
  <c r="E132" i="2" s="1"/>
  <c r="L255" i="1"/>
  <c r="L336" i="1"/>
  <c r="C11" i="13"/>
  <c r="C10" i="13"/>
  <c r="C9" i="13"/>
  <c r="L361" i="1"/>
  <c r="B4" i="12"/>
  <c r="B36" i="12"/>
  <c r="B39" i="12" s="1"/>
  <c r="B40" i="12" s="1"/>
  <c r="C36" i="12"/>
  <c r="C39" i="12" s="1"/>
  <c r="C40" i="12" s="1"/>
  <c r="B27" i="12"/>
  <c r="C27" i="12"/>
  <c r="B31" i="12"/>
  <c r="C31" i="12"/>
  <c r="B9" i="12"/>
  <c r="B12" i="12" s="1"/>
  <c r="B13" i="12" s="1"/>
  <c r="C9" i="12"/>
  <c r="C12" i="12" s="1"/>
  <c r="C13" i="12" s="1"/>
  <c r="B18" i="12"/>
  <c r="B21" i="12" s="1"/>
  <c r="B22" i="12" s="1"/>
  <c r="C18" i="12"/>
  <c r="C21" i="12" s="1"/>
  <c r="C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56" i="2" s="1"/>
  <c r="F79" i="1"/>
  <c r="F94" i="1"/>
  <c r="C58" i="2" s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L250" i="1"/>
  <c r="L332" i="1"/>
  <c r="E113" i="2" s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D27" i="2"/>
  <c r="E27" i="2"/>
  <c r="F27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C114" i="2"/>
  <c r="E114" i="2"/>
  <c r="D115" i="2"/>
  <c r="F115" i="2"/>
  <c r="G115" i="2"/>
  <c r="E118" i="2"/>
  <c r="E120" i="2"/>
  <c r="E124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2" i="1"/>
  <c r="H652" i="1"/>
  <c r="G653" i="1"/>
  <c r="H653" i="1"/>
  <c r="G654" i="1"/>
  <c r="H654" i="1"/>
  <c r="H655" i="1"/>
  <c r="J655" i="1" s="1"/>
  <c r="D12" i="13"/>
  <c r="C12" i="13" s="1"/>
  <c r="D17" i="13"/>
  <c r="C17" i="13" s="1"/>
  <c r="E8" i="13"/>
  <c r="C8" i="13" s="1"/>
  <c r="H140" i="1"/>
  <c r="F22" i="13"/>
  <c r="C22" i="13" s="1"/>
  <c r="I476" i="1" l="1"/>
  <c r="H625" i="1" s="1"/>
  <c r="J625" i="1" s="1"/>
  <c r="L393" i="1"/>
  <c r="C138" i="2" s="1"/>
  <c r="H617" i="1"/>
  <c r="J617" i="1" s="1"/>
  <c r="H169" i="1"/>
  <c r="C25" i="10"/>
  <c r="E122" i="2"/>
  <c r="G192" i="1"/>
  <c r="D18" i="13"/>
  <c r="C18" i="13" s="1"/>
  <c r="F169" i="1"/>
  <c r="C122" i="2"/>
  <c r="G461" i="1"/>
  <c r="H640" i="1" s="1"/>
  <c r="J640" i="1" s="1"/>
  <c r="E78" i="2"/>
  <c r="E81" i="2" s="1"/>
  <c r="C35" i="10"/>
  <c r="L433" i="1"/>
  <c r="G408" i="1"/>
  <c r="H645" i="1" s="1"/>
  <c r="F192" i="1"/>
  <c r="J571" i="1"/>
  <c r="C26" i="10"/>
  <c r="L351" i="1"/>
  <c r="D14" i="13"/>
  <c r="C14" i="13" s="1"/>
  <c r="H476" i="1"/>
  <c r="H624" i="1" s="1"/>
  <c r="J624" i="1" s="1"/>
  <c r="L427" i="1"/>
  <c r="K571" i="1"/>
  <c r="F476" i="1"/>
  <c r="H622" i="1" s="1"/>
  <c r="J622" i="1" s="1"/>
  <c r="F662" i="1"/>
  <c r="C18" i="10"/>
  <c r="C120" i="2"/>
  <c r="F408" i="1"/>
  <c r="H643" i="1" s="1"/>
  <c r="J643" i="1" s="1"/>
  <c r="I408" i="1"/>
  <c r="G476" i="1"/>
  <c r="H623" i="1" s="1"/>
  <c r="J623" i="1" s="1"/>
  <c r="K338" i="1"/>
  <c r="H192" i="1"/>
  <c r="I169" i="1"/>
  <c r="J140" i="1"/>
  <c r="E125" i="2"/>
  <c r="I552" i="1"/>
  <c r="I545" i="1"/>
  <c r="L309" i="1"/>
  <c r="D7" i="13"/>
  <c r="C7" i="13" s="1"/>
  <c r="E16" i="13"/>
  <c r="C16" i="13" s="1"/>
  <c r="H545" i="1"/>
  <c r="K550" i="1"/>
  <c r="G552" i="1"/>
  <c r="D91" i="2"/>
  <c r="D81" i="2"/>
  <c r="J476" i="1"/>
  <c r="H626" i="1" s="1"/>
  <c r="H461" i="1"/>
  <c r="H641" i="1" s="1"/>
  <c r="J641" i="1" s="1"/>
  <c r="F461" i="1"/>
  <c r="H639" i="1" s="1"/>
  <c r="J639" i="1" s="1"/>
  <c r="I452" i="1"/>
  <c r="I446" i="1"/>
  <c r="G642" i="1" s="1"/>
  <c r="L419" i="1"/>
  <c r="G645" i="1"/>
  <c r="A13" i="12"/>
  <c r="L401" i="1"/>
  <c r="C139" i="2" s="1"/>
  <c r="K605" i="1"/>
  <c r="G648" i="1" s="1"/>
  <c r="K598" i="1"/>
  <c r="G647" i="1" s="1"/>
  <c r="G81" i="2"/>
  <c r="G157" i="2"/>
  <c r="H571" i="1"/>
  <c r="L570" i="1"/>
  <c r="L565" i="1"/>
  <c r="L560" i="1"/>
  <c r="G164" i="2"/>
  <c r="G161" i="2"/>
  <c r="F78" i="2"/>
  <c r="F81" i="2" s="1"/>
  <c r="J552" i="1"/>
  <c r="L544" i="1"/>
  <c r="J545" i="1"/>
  <c r="L529" i="1"/>
  <c r="K545" i="1"/>
  <c r="K551" i="1"/>
  <c r="L539" i="1"/>
  <c r="G545" i="1"/>
  <c r="K549" i="1"/>
  <c r="C118" i="2"/>
  <c r="C121" i="2"/>
  <c r="C109" i="2"/>
  <c r="D6" i="13"/>
  <c r="C6" i="13" s="1"/>
  <c r="C29" i="10"/>
  <c r="C110" i="2"/>
  <c r="C112" i="2"/>
  <c r="E103" i="2"/>
  <c r="C91" i="2"/>
  <c r="D50" i="2"/>
  <c r="E31" i="2"/>
  <c r="D18" i="2"/>
  <c r="D62" i="2"/>
  <c r="D63" i="2" s="1"/>
  <c r="D31" i="2"/>
  <c r="G156" i="2"/>
  <c r="L211" i="1"/>
  <c r="G649" i="1"/>
  <c r="J649" i="1" s="1"/>
  <c r="C125" i="2"/>
  <c r="C123" i="2"/>
  <c r="K257" i="1"/>
  <c r="K271" i="1" s="1"/>
  <c r="G662" i="1"/>
  <c r="E13" i="13"/>
  <c r="C13" i="13" s="1"/>
  <c r="F552" i="1"/>
  <c r="L524" i="1"/>
  <c r="I460" i="1"/>
  <c r="F85" i="2"/>
  <c r="F91" i="2" s="1"/>
  <c r="E111" i="2"/>
  <c r="J651" i="1"/>
  <c r="C119" i="2"/>
  <c r="C70" i="2"/>
  <c r="D15" i="13"/>
  <c r="C15" i="13" s="1"/>
  <c r="L382" i="1"/>
  <c r="G636" i="1" s="1"/>
  <c r="J636" i="1" s="1"/>
  <c r="C17" i="10"/>
  <c r="K500" i="1"/>
  <c r="H408" i="1"/>
  <c r="H644" i="1" s="1"/>
  <c r="J644" i="1" s="1"/>
  <c r="L614" i="1"/>
  <c r="H552" i="1"/>
  <c r="F130" i="2"/>
  <c r="F144" i="2" s="1"/>
  <c r="F145" i="2" s="1"/>
  <c r="K503" i="1"/>
  <c r="E121" i="2"/>
  <c r="L534" i="1"/>
  <c r="I257" i="1"/>
  <c r="I271" i="1" s="1"/>
  <c r="C78" i="2"/>
  <c r="L229" i="1"/>
  <c r="G660" i="1" s="1"/>
  <c r="J257" i="1"/>
  <c r="J271" i="1" s="1"/>
  <c r="G257" i="1"/>
  <c r="G271" i="1" s="1"/>
  <c r="H257" i="1"/>
  <c r="H271" i="1" s="1"/>
  <c r="C111" i="2"/>
  <c r="H647" i="1"/>
  <c r="C124" i="2"/>
  <c r="H662" i="1"/>
  <c r="C21" i="10"/>
  <c r="F257" i="1"/>
  <c r="F271" i="1" s="1"/>
  <c r="D5" i="13"/>
  <c r="C5" i="13" s="1"/>
  <c r="L247" i="1"/>
  <c r="G62" i="2"/>
  <c r="G63" i="2" s="1"/>
  <c r="F18" i="2"/>
  <c r="H112" i="1"/>
  <c r="H193" i="1" s="1"/>
  <c r="G629" i="1" s="1"/>
  <c r="J629" i="1" s="1"/>
  <c r="E58" i="2"/>
  <c r="E62" i="2" s="1"/>
  <c r="E63" i="2" s="1"/>
  <c r="F112" i="1"/>
  <c r="C57" i="2"/>
  <c r="C62" i="2" s="1"/>
  <c r="C63" i="2" s="1"/>
  <c r="C18" i="2"/>
  <c r="J112" i="1"/>
  <c r="D19" i="13"/>
  <c r="C19" i="13" s="1"/>
  <c r="G338" i="1"/>
  <c r="G352" i="1" s="1"/>
  <c r="A31" i="12"/>
  <c r="L270" i="1"/>
  <c r="C15" i="10"/>
  <c r="I52" i="1"/>
  <c r="H620" i="1" s="1"/>
  <c r="J620" i="1" s="1"/>
  <c r="G112" i="1"/>
  <c r="H52" i="1"/>
  <c r="H619" i="1" s="1"/>
  <c r="J619" i="1" s="1"/>
  <c r="A40" i="12"/>
  <c r="I369" i="1"/>
  <c r="H634" i="1" s="1"/>
  <c r="J634" i="1" s="1"/>
  <c r="F338" i="1"/>
  <c r="F352" i="1" s="1"/>
  <c r="E109" i="2"/>
  <c r="C13" i="10"/>
  <c r="E119" i="2"/>
  <c r="C16" i="10"/>
  <c r="E112" i="2"/>
  <c r="C12" i="10"/>
  <c r="C10" i="10"/>
  <c r="L328" i="1"/>
  <c r="C19" i="10"/>
  <c r="C20" i="10"/>
  <c r="H338" i="1"/>
  <c r="H352" i="1" s="1"/>
  <c r="L290" i="1"/>
  <c r="E110" i="2"/>
  <c r="C11" i="10"/>
  <c r="L362" i="1"/>
  <c r="G635" i="1" s="1"/>
  <c r="J635" i="1" s="1"/>
  <c r="H661" i="1"/>
  <c r="D29" i="13"/>
  <c r="C29" i="13" s="1"/>
  <c r="D127" i="2"/>
  <c r="D128" i="2" s="1"/>
  <c r="D145" i="2" s="1"/>
  <c r="F661" i="1"/>
  <c r="G661" i="1"/>
  <c r="K352" i="1"/>
  <c r="H25" i="13"/>
  <c r="C25" i="13" s="1"/>
  <c r="E131" i="2"/>
  <c r="E144" i="2" s="1"/>
  <c r="C32" i="10"/>
  <c r="L256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193" i="1" l="1"/>
  <c r="G646" i="1" s="1"/>
  <c r="J645" i="1"/>
  <c r="L434" i="1"/>
  <c r="G638" i="1" s="1"/>
  <c r="J638" i="1" s="1"/>
  <c r="D51" i="2"/>
  <c r="E51" i="2"/>
  <c r="I461" i="1"/>
  <c r="H642" i="1" s="1"/>
  <c r="J642" i="1" s="1"/>
  <c r="L408" i="1"/>
  <c r="G637" i="1" s="1"/>
  <c r="J637" i="1" s="1"/>
  <c r="C141" i="2"/>
  <c r="C144" i="2" s="1"/>
  <c r="J647" i="1"/>
  <c r="C81" i="2"/>
  <c r="C104" i="2" s="1"/>
  <c r="L571" i="1"/>
  <c r="K552" i="1"/>
  <c r="I193" i="1"/>
  <c r="G630" i="1" s="1"/>
  <c r="J630" i="1" s="1"/>
  <c r="C115" i="2"/>
  <c r="F660" i="1"/>
  <c r="F664" i="1" s="1"/>
  <c r="C128" i="2"/>
  <c r="I662" i="1"/>
  <c r="E33" i="13"/>
  <c r="D35" i="13" s="1"/>
  <c r="L545" i="1"/>
  <c r="E128" i="2"/>
  <c r="H648" i="1"/>
  <c r="J648" i="1" s="1"/>
  <c r="H660" i="1"/>
  <c r="H664" i="1" s="1"/>
  <c r="H672" i="1" s="1"/>
  <c r="C6" i="10" s="1"/>
  <c r="L257" i="1"/>
  <c r="L271" i="1" s="1"/>
  <c r="G632" i="1" s="1"/>
  <c r="J632" i="1" s="1"/>
  <c r="E104" i="2"/>
  <c r="F193" i="1"/>
  <c r="G627" i="1" s="1"/>
  <c r="J627" i="1" s="1"/>
  <c r="C36" i="10"/>
  <c r="F104" i="2"/>
  <c r="D104" i="2"/>
  <c r="G51" i="2"/>
  <c r="G104" i="2"/>
  <c r="H33" i="13"/>
  <c r="F51" i="2"/>
  <c r="E115" i="2"/>
  <c r="D31" i="13"/>
  <c r="C31" i="13" s="1"/>
  <c r="L338" i="1"/>
  <c r="L352" i="1" s="1"/>
  <c r="G633" i="1" s="1"/>
  <c r="J633" i="1" s="1"/>
  <c r="C27" i="10"/>
  <c r="C28" i="10" s="1"/>
  <c r="D16" i="10" s="1"/>
  <c r="G664" i="1"/>
  <c r="I661" i="1"/>
  <c r="C51" i="2"/>
  <c r="G193" i="1"/>
  <c r="G628" i="1" s="1"/>
  <c r="J628" i="1" s="1"/>
  <c r="G626" i="1"/>
  <c r="J626" i="1" s="1"/>
  <c r="J52" i="1"/>
  <c r="H621" i="1" s="1"/>
  <c r="J621" i="1" s="1"/>
  <c r="C38" i="10"/>
  <c r="G631" i="1" l="1"/>
  <c r="J631" i="1" s="1"/>
  <c r="H646" i="1"/>
  <c r="J646" i="1" s="1"/>
  <c r="C145" i="2"/>
  <c r="E145" i="2"/>
  <c r="I660" i="1"/>
  <c r="I664" i="1" s="1"/>
  <c r="I672" i="1" s="1"/>
  <c r="C7" i="10" s="1"/>
  <c r="H667" i="1"/>
  <c r="D33" i="13"/>
  <c r="D36" i="13" s="1"/>
  <c r="G672" i="1"/>
  <c r="C5" i="10" s="1"/>
  <c r="G667" i="1"/>
  <c r="F672" i="1"/>
  <c r="C4" i="10" s="1"/>
  <c r="F667" i="1"/>
  <c r="D22" i="10"/>
  <c r="D12" i="10"/>
  <c r="D11" i="10"/>
  <c r="D18" i="10"/>
  <c r="D20" i="10"/>
  <c r="C30" i="10"/>
  <c r="D23" i="10"/>
  <c r="D13" i="10"/>
  <c r="D21" i="10"/>
  <c r="D25" i="10"/>
  <c r="D10" i="10"/>
  <c r="D27" i="10"/>
  <c r="D17" i="10"/>
  <c r="D24" i="10"/>
  <c r="D19" i="10"/>
  <c r="D15" i="10"/>
  <c r="D2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<sst xmlns="http://schemas.openxmlformats.org/spreadsheetml/2006/main" count="3960" uniqueCount="918">
  <si>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</si>
  <si>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</si>
  <si>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</si>
  <si>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</si>
  <si>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</si>
  <si>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</si>
  <si>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</si>
  <si>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</si>
  <si>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</si>
  <si>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</si>
  <si>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</si>
  <si>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</si>
  <si>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</si>
  <si>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</si>
  <si>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</si>
  <si>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</si>
  <si>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</si>
  <si>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</si>
  <si>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</si>
  <si>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</si>
  <si>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</si>
  <si>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</si>
  <si>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</si>
  <si>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</si>
  <si>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</si>
  <si>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</si>
  <si>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</si>
  <si>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</si>
  <si>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</si>
  <si>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</si>
  <si>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</si>
  <si>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</si>
  <si>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</si>
  <si>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</si>
  <si>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</si>
  <si>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</si>
  <si>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</si>
  <si>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</si>
  <si>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</si>
  <si>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</si>
  <si>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</si>
  <si>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</si>
  <si>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</si>
  <si>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</si>
  <si>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</si>
  <si>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</si>
  <si>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</si>
  <si>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</si>
  <si>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</si>
  <si>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</si>
  <si>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</si>
  <si>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</si>
  <si>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</si>
  <si>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</si>
  <si>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</si>
  <si>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</si>
  <si>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</si>
  <si>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</si>
  <si>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</si>
  <si>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</si>
  <si>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</si>
  <si>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</si>
  <si>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</si>
  <si>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</si>
  <si>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</si>
  <si>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</si>
  <si>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</si>
  <si>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</si>
  <si>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</si>
  <si>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</si>
  <si>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</si>
  <si>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</si>
  <si>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</si>
  <si>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</si>
  <si>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</si>
  <si>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</si>
  <si>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</si>
  <si>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</si>
  <si>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</si>
  <si>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</si>
  <si>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</si>
  <si>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</si>
  <si>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</si>
  <si>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</si>
  <si>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</si>
  <si>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</si>
  <si>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</si>
  <si>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</si>
  <si>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</si>
  <si>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</si>
  <si>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</si>
  <si>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</si>
  <si>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</si>
  <si>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</si>
  <si>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</si>
  <si>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</si>
  <si>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</si>
  <si>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</si>
  <si>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</si>
  <si>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</si>
  <si>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</si>
  <si>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</si>
  <si>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</si>
  <si>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</si>
  <si>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</si>
  <si>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</si>
  <si>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</si>
  <si>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</si>
  <si>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</si>
  <si>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</si>
  <si>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</si>
  <si>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</si>
  <si>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</si>
  <si>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</si>
  <si>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</si>
  <si>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</si>
  <si>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</si>
  <si>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</si>
  <si>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</si>
  <si>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</si>
  <si>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</si>
  <si>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</si>
  <si>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</si>
  <si>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</si>
  <si>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</si>
  <si>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</si>
  <si>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</si>
  <si>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</si>
  <si>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</si>
  <si>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</si>
  <si>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</si>
  <si>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</si>
  <si>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</si>
  <si>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</si>
  <si>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</si>
  <si>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</si>
  <si>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</si>
  <si>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</si>
  <si>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</si>
  <si>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</si>
  <si>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</si>
  <si>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</si>
  <si>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</si>
  <si>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</si>
  <si>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</si>
  <si>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</si>
  <si>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</si>
  <si>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</si>
  <si>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</si>
  <si>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</si>
  <si>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</si>
  <si>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</si>
  <si>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</si>
  <si>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</si>
  <si>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</si>
  <si>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</si>
  <si>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</si>
  <si>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</si>
  <si>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</si>
  <si>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</si>
  <si>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</si>
  <si>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</si>
  <si>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</si>
  <si>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</si>
  <si>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</si>
  <si>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</si>
  <si>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</si>
  <si>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</si>
  <si>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</si>
  <si>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</si>
  <si>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</si>
  <si>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</si>
  <si>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</si>
  <si>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</si>
  <si>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</si>
  <si>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</si>
  <si>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</si>
  <si>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</si>
  <si>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</si>
  <si>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</si>
  <si>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</si>
  <si>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</si>
  <si>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</si>
  <si>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</si>
  <si>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</si>
  <si>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</si>
  <si>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</si>
  <si>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</si>
  <si>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</si>
  <si>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</si>
  <si>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</si>
  <si>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</si>
  <si>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</si>
  <si>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</si>
  <si>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</si>
  <si>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</si>
  <si>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</si>
  <si>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</si>
  <si>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</si>
  <si>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</si>
  <si>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</si>
  <si>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</si>
  <si>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</si>
  <si>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</si>
  <si>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</si>
  <si>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</si>
  <si>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</si>
  <si>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</si>
  <si>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</si>
  <si>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</si>
  <si>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</si>
  <si>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</si>
  <si>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</si>
  <si>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</si>
  <si>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</si>
  <si>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</si>
  <si>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</si>
  <si>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</si>
  <si>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</si>
  <si>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</si>
  <si>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</si>
  <si>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</si>
  <si>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</si>
  <si>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</si>
  <si>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</si>
  <si>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</si>
  <si>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</si>
  <si>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</si>
  <si>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</si>
  <si>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</si>
  <si>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</si>
  <si>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</si>
  <si>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</si>
  <si>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</si>
  <si>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</si>
  <si>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</si>
  <si>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</si>
  <si>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</si>
  <si>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</si>
  <si>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</si>
  <si>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</si>
  <si>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</si>
  <si>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</si>
  <si>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</si>
  <si>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</si>
  <si>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</si>
  <si>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</si>
  <si>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</si>
  <si>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</si>
  <si>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</si>
  <si>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</si>
  <si>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</si>
  <si>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</si>
  <si>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</si>
  <si>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</si>
  <si>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</si>
  <si>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</si>
  <si>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</si>
  <si>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</si>
  <si>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</si>
  <si>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</si>
  <si>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</si>
  <si>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</si>
  <si>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</si>
  <si>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</si>
  <si>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</si>
  <si>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</si>
  <si>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</si>
  <si>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</si>
  <si>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</si>
  <si>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</si>
  <si>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</si>
  <si>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</si>
  <si>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</si>
  <si>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</si>
  <si>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</si>
  <si>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</si>
  <si>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</si>
  <si>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</si>
  <si>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</si>
  <si>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</si>
  <si>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</si>
  <si>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</si>
  <si>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</si>
  <si>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</si>
  <si>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</si>
  <si>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</si>
  <si>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</si>
  <si>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</si>
  <si>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</si>
  <si>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</si>
  <si>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</si>
  <si>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</si>
  <si>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</si>
  <si>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</si>
  <si>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</si>
  <si>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</si>
  <si>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</si>
  <si>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</si>
  <si>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</si>
  <si>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</si>
  <si>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</si>
  <si>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</si>
  <si>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</si>
  <si>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</si>
  <si>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</si>
  <si>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</si>
  <si>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</si>
  <si>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</si>
  <si>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</si>
  <si>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</si>
  <si>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</si>
  <si>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</si>
  <si>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</si>
  <si>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</si>
  <si>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</si>
  <si>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</si>
  <si>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</si>
  <si>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</si>
  <si>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</si>
  <si>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</si>
  <si>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</si>
  <si>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</si>
  <si>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</si>
  <si>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</si>
  <si>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</si>
  <si>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</si>
  <si>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</si>
  <si>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</si>
  <si>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</si>
  <si>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</si>
  <si>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</si>
  <si>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</si>
  <si>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</si>
  <si>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</si>
  <si>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</si>
  <si>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</si>
  <si>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</si>
  <si>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</si>
  <si>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</si>
  <si>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</si>
  <si>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</si>
  <si>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</si>
  <si>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</si>
  <si>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</si>
  <si>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</si>
  <si>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</si>
  <si>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</si>
  <si>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</si>
  <si>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</si>
  <si>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</si>
  <si>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</si>
  <si>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</si>
  <si>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</si>
  <si>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</si>
  <si>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</si>
  <si>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</si>
  <si>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</si>
  <si>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</si>
  <si>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</si>
  <si>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</si>
  <si>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</si>
  <si>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</si>
  <si>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</si>
  <si>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</si>
  <si>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</si>
  <si>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</si>
  <si>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</si>
  <si>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</si>
  <si>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</si>
  <si>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</si>
  <si>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</si>
  <si>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</si>
  <si>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</si>
  <si>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</si>
  <si>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</si>
  <si>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</si>
  <si>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</si>
  <si>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</si>
  <si>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</si>
  <si>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</si>
  <si>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</si>
  <si>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</si>
  <si>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</si>
  <si>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</si>
  <si>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</si>
  <si>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</si>
  <si>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</si>
  <si>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</si>
  <si>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</si>
  <si>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</si>
  <si>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</si>
  <si>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</si>
  <si>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</si>
  <si>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</si>
  <si>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</si>
  <si>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</si>
  <si>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</si>
  <si>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</si>
  <si>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</si>
  <si>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</si>
  <si>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</si>
  <si>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</si>
  <si>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</si>
  <si>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</si>
  <si>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</si>
  <si>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</si>
  <si>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</si>
  <si>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</si>
  <si>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</si>
  <si>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</si>
  <si>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</si>
  <si>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</si>
  <si>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</si>
  <si>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</si>
  <si>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</si>
  <si>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</si>
  <si>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</si>
  <si>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</si>
  <si>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</si>
  <si>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</si>
  <si>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</si>
  <si>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</si>
  <si>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</si>
  <si>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</si>
  <si>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</si>
  <si>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</si>
  <si>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</si>
  <si>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</si>
  <si>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</si>
  <si>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</si>
  <si>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</si>
  <si>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</si>
  <si>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</si>
  <si>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</si>
  <si>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</si>
  <si>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</si>
  <si>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</si>
  <si>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</si>
  <si>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</si>
  <si>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</si>
  <si>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</si>
  <si>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</si>
  <si>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</si>
  <si>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</si>
  <si>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</si>
  <si>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</si>
  <si>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</si>
  <si>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</si>
  <si>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</si>
  <si>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</si>
  <si>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</si>
  <si>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</si>
  <si>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</si>
  <si>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</si>
  <si>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</si>
  <si>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</si>
  <si>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</si>
  <si>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</si>
  <si>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</si>
  <si>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</si>
  <si>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</si>
  <si>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</si>
  <si>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</si>
  <si>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</si>
  <si>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</si>
  <si>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</si>
  <si>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</si>
  <si>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</si>
  <si>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</si>
  <si>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</si>
  <si>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</si>
  <si>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</si>
  <si>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</si>
  <si>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</si>
  <si>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</si>
  <si>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</si>
  <si>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</si>
  <si>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</si>
  <si>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</si>
  <si>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</si>
  <si>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</si>
  <si>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</si>
  <si>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</si>
  <si>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</si>
  <si>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</si>
  <si>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</si>
  <si>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</si>
  <si>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</si>
  <si>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</si>
  <si>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</si>
  <si>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</si>
  <si>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</si>
  <si>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</si>
  <si>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</si>
  <si>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</si>
  <si>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</si>
  <si>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</si>
  <si>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</si>
  <si>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</si>
  <si>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</si>
  <si>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</si>
  <si>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</si>
  <si>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</si>
  <si>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</si>
  <si>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</si>
  <si>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</si>
  <si>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</si>
  <si>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</si>
  <si>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</si>
  <si>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</si>
  <si>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</si>
  <si>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</si>
  <si>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</si>
  <si>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</si>
  <si>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</si>
  <si>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</si>
  <si>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</si>
  <si>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</si>
  <si>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</si>
  <si>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</si>
  <si>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</si>
  <si>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</si>
  <si>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</si>
  <si>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</si>
  <si>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</si>
  <si>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</si>
  <si>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</si>
  <si>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</si>
  <si>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</si>
  <si>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</si>
  <si>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</si>
  <si>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</si>
  <si>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</si>
  <si>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</si>
  <si>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</si>
  <si>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</si>
  <si>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</si>
  <si>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</si>
  <si>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</si>
  <si>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</si>
  <si>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</si>
  <si>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</si>
  <si>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</si>
  <si>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</si>
  <si>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</si>
  <si>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</si>
  <si>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</si>
  <si>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</si>
  <si>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</si>
  <si>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</si>
  <si>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</si>
  <si>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</si>
  <si>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</si>
  <si>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</si>
  <si>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</si>
  <si>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</si>
  <si>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</si>
  <si>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</si>
  <si>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</si>
  <si>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</si>
  <si>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</si>
  <si>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</si>
  <si>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</si>
  <si>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</si>
  <si>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</si>
  <si>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</si>
  <si>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</si>
  <si>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</si>
  <si>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</si>
  <si>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</si>
  <si>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</si>
  <si>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</si>
  <si>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</si>
  <si>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</si>
  <si>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</si>
  <si>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</si>
  <si>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</si>
  <si>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</si>
  <si>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</si>
  <si>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</si>
  <si>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</si>
  <si>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</si>
  <si>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</si>
  <si>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</si>
  <si>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</si>
  <si>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</si>
  <si>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</si>
  <si>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</si>
  <si>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</si>
  <si>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</si>
  <si>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</si>
  <si>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</si>
  <si>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</si>
  <si>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</si>
  <si>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</si>
  <si>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</si>
  <si>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</si>
  <si>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</si>
  <si>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</si>
  <si>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</si>
  <si>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</si>
  <si>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</si>
  <si>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</si>
  <si>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</si>
  <si>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</si>
  <si>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</si>
  <si>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</si>
  <si>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</si>
  <si>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</si>
  <si>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</si>
  <si>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</si>
  <si>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</si>
  <si>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</si>
  <si>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</si>
  <si>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</si>
  <si>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</si>
  <si>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</si>
  <si>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</si>
  <si>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</si>
  <si>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</si>
  <si>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</si>
  <si>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</si>
  <si>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</si>
  <si>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</si>
  <si>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</si>
  <si>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</si>
  <si>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</si>
  <si>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</si>
  <si>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</si>
  <si>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</si>
  <si>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</si>
  <si>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</si>
  <si>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</si>
  <si>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</si>
  <si>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</si>
  <si>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</si>
  <si>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</si>
  <si>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</si>
  <si>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</si>
  <si>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</si>
  <si>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</si>
  <si>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</si>
  <si>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</si>
  <si>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</si>
  <si>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</si>
  <si>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</si>
  <si>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</si>
  <si>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</si>
  <si>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</si>
  <si>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</si>
  <si>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</si>
  <si>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</si>
  <si>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</si>
  <si>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</si>
  <si>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</si>
  <si>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</si>
  <si>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</si>
  <si>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</si>
  <si>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</si>
  <si>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</si>
  <si>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</si>
  <si>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</si>
  <si>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</si>
  <si>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</si>
  <si>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</si>
  <si>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</si>
  <si>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</si>
  <si>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</si>
  <si>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</si>
  <si>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</si>
  <si>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</si>
  <si>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</si>
  <si>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</si>
  <si>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</si>
  <si>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</si>
  <si>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</si>
  <si>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</si>
  <si>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</si>
  <si>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</si>
  <si>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</si>
  <si>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</si>
  <si>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</si>
  <si>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</si>
  <si>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</si>
  <si>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</si>
  <si>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</si>
  <si>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</si>
  <si>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</si>
  <si>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</si>
  <si>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</si>
  <si>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</si>
  <si>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</si>
  <si>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</si>
  <si>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</si>
  <si>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</si>
  <si>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</si>
  <si>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</si>
  <si>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</si>
  <si>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</si>
  <si>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</si>
  <si>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</si>
  <si>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</si>
  <si>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</si>
  <si>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</si>
  <si>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</si>
  <si>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</si>
  <si>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</si>
  <si>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</si>
  <si>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</si>
  <si>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</si>
  <si>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</si>
  <si>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</si>
  <si>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</si>
  <si>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</si>
  <si>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</si>
  <si>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</si>
  <si>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</si>
  <si>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</si>
  <si>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</si>
  <si>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</si>
  <si>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</si>
  <si>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</si>
  <si>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</si>
  <si>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</si>
  <si>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</si>
  <si>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</si>
  <si>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</si>
  <si>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</si>
  <si>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</si>
  <si>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</si>
  <si>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</si>
  <si>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</si>
  <si>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</si>
  <si>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</si>
  <si>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</si>
  <si>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</si>
  <si>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</si>
  <si>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</si>
  <si>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</si>
  <si>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</si>
  <si>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</si>
  <si>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</si>
  <si>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</si>
  <si>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</si>
  <si>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</si>
  <si>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</si>
  <si>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</si>
  <si>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</si>
  <si>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</si>
  <si>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</si>
  <si>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</si>
  <si>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</si>
  <si>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</si>
  <si>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</si>
  <si>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</si>
  <si>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</si>
  <si>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</si>
  <si>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</si>
  <si>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</si>
  <si>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</si>
  <si>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</si>
  <si>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</si>
  <si>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</si>
  <si>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</si>
  <si>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</si>
  <si>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</si>
  <si>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</si>
  <si>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</si>
  <si>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</si>
  <si>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</si>
  <si>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</si>
  <si>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</si>
  <si>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</si>
  <si>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</si>
  <si>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</si>
  <si>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</si>
  <si>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</si>
  <si>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</si>
  <si>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</si>
  <si>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</si>
  <si>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</si>
  <si>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</si>
  <si>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</si>
  <si>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</si>
  <si>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</si>
  <si>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</si>
  <si>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</si>
  <si>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</si>
  <si>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</si>
  <si>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</si>
  <si>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</si>
  <si>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</si>
  <si>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</si>
  <si>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</si>
  <si>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</si>
  <si>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</si>
  <si>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</si>
  <si>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</si>
  <si>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</si>
  <si>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</si>
  <si>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</si>
  <si>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</si>
  <si>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</si>
  <si>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</si>
  <si>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</si>
  <si>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</si>
  <si>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</si>
  <si>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</si>
  <si>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</si>
  <si>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</si>
  <si>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</si>
  <si>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</si>
  <si>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</si>
  <si>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</si>
  <si>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</si>
  <si>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</si>
  <si>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</si>
  <si>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</si>
  <si>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</si>
  <si>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</si>
  <si>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</si>
  <si>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</si>
  <si>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</si>
  <si>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</si>
  <si>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</si>
  <si>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</si>
  <si>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</si>
  <si>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</si>
  <si>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</si>
  <si>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</si>
  <si>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</si>
  <si>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</si>
  <si>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</si>
  <si>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</si>
  <si>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</si>
  <si>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</si>
  <si>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</si>
  <si>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</si>
  <si>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</si>
  <si>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</si>
  <si>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</si>
  <si>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</si>
  <si>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</si>
  <si>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</si>
  <si>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</si>
  <si>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</si>
  <si>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</si>
  <si>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</si>
  <si>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</si>
  <si>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</si>
  <si>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</si>
  <si>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</si>
  <si>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</si>
  <si>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</si>
  <si>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</si>
  <si>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</si>
  <si>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</si>
  <si>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</si>
  <si>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</si>
  <si>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</si>
  <si>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</si>
  <si>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</si>
  <si>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</si>
  <si>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</si>
  <si>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</si>
  <si>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</si>
  <si>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</si>
  <si>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</si>
  <si>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</si>
  <si>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</si>
  <si>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</si>
  <si>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</si>
  <si>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</si>
  <si>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</si>
  <si>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</si>
  <si>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</si>
  <si>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</si>
  <si>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</si>
  <si>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</si>
  <si>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</si>
  <si>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</si>
  <si>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</si>
  <si>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</si>
  <si>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</si>
  <si>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</si>
  <si>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</si>
  <si>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</si>
  <si>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</si>
  <si>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</si>
  <si>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</si>
  <si>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</si>
  <si>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</si>
  <si>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</si>
  <si>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</si>
  <si>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</si>
  <si>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</si>
  <si>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</si>
  <si>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</si>
  <si>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</si>
  <si>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</si>
  <si>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</si>
  <si>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</si>
  <si>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</si>
  <si>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</si>
  <si>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</si>
  <si>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</si>
  <si>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</si>
  <si>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</si>
  <si>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</si>
  <si>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</si>
  <si>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J473 - Net Change in Student Activity Accounts</t>
  </si>
  <si>
    <t>07/10</t>
  </si>
  <si>
    <t>01/26</t>
  </si>
  <si>
    <t>F473 - Function 2900 - Workers Comp, Unemp. Self Ins., &amp; Payment of Health Surplus Premiums</t>
  </si>
  <si>
    <t>G473 - Represents audit adjustments for Deferred Revenue &amp; Accrued Expenses</t>
  </si>
  <si>
    <t>SAU#4 Newfound Area School District</t>
  </si>
  <si>
    <t>F469 - Adjustment to actual for prior year expenditures paid in FY15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</si>
</sst>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4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54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42" fillId="0" borderId="0"/>
    <xf numFmtId="0" fontId="41" fillId="0" borderId="0"/>
    <xf numFmtId="0" fontId="2" fillId="0" borderId="0"/>
    <xf numFmtId="0" fontId="2" fillId="0" borderId="0"/>
    <xf numFmtId="0" fontId="14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34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34" fillId="0" borderId="0"/>
    <xf numFmtId="43" fontId="42" fillId="0" borderId="0" applyFont="0" applyFill="0" applyBorder="0" applyAlignment="0" applyProtection="0"/>
  </cellStyleXfs>
  <cellXfs count="311">
    <xf numFmtId="0" fontId="0" fillId="0" borderId="0" xfId="0"/>
    <xf numFmtId="164" fontId="5" fillId="0" borderId="0" xfId="0" applyNumberFormat="1" applyFont="1" applyAlignment="1" applyProtection="1">
      <alignment horizontal="left"/>
    </xf>
    <xf numFmtId="165" fontId="5" fillId="0" borderId="0" xfId="0" applyNumberFormat="1" applyFont="1" applyAlignment="1" applyProtection="1">
      <alignment horizontal="left"/>
    </xf>
    <xf numFmtId="0" fontId="5" fillId="0" borderId="0" xfId="0" applyFont="1"/>
    <xf numFmtId="0" fontId="5" fillId="0" borderId="0" xfId="0" applyFont="1" applyProtection="1">
      <protection locked="0"/>
    </xf>
    <xf numFmtId="164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165" fontId="5" fillId="0" borderId="0" xfId="0" applyNumberFormat="1" applyFont="1" applyProtection="1"/>
    <xf numFmtId="165" fontId="6" fillId="0" borderId="0" xfId="0" applyNumberFormat="1" applyFont="1" applyProtection="1">
      <protection locked="0"/>
    </xf>
    <xf numFmtId="164" fontId="6" fillId="0" borderId="0" xfId="0" applyNumberFormat="1" applyFont="1" applyProtection="1">
      <protection locked="0"/>
    </xf>
    <xf numFmtId="4" fontId="6" fillId="0" borderId="0" xfId="0" applyNumberFormat="1" applyFont="1" applyProtection="1">
      <protection locked="0"/>
    </xf>
    <xf numFmtId="0" fontId="5" fillId="0" borderId="1" xfId="0" applyFont="1" applyBorder="1"/>
    <xf numFmtId="0" fontId="0" fillId="0" borderId="2" xfId="0" applyBorder="1"/>
    <xf numFmtId="40" fontId="5" fillId="0" borderId="0" xfId="0" applyNumberFormat="1" applyFont="1"/>
    <xf numFmtId="40" fontId="5" fillId="0" borderId="0" xfId="0" applyNumberFormat="1" applyFont="1" applyAlignment="1" applyProtection="1">
      <alignment horizontal="left"/>
    </xf>
    <xf numFmtId="40" fontId="5" fillId="0" borderId="0" xfId="0" quotePrefix="1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  <protection locked="0"/>
    </xf>
    <xf numFmtId="40" fontId="6" fillId="0" borderId="0" xfId="0" applyNumberFormat="1" applyFont="1" applyProtection="1">
      <protection locked="0"/>
    </xf>
    <xf numFmtId="40" fontId="5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7" fillId="0" borderId="0" xfId="0" applyNumberFormat="1" applyFont="1" applyProtection="1"/>
    <xf numFmtId="0" fontId="5" fillId="0" borderId="0" xfId="0" applyFont="1" applyAlignment="1">
      <alignment horizontal="center"/>
    </xf>
    <xf numFmtId="40" fontId="5" fillId="2" borderId="0" xfId="0" applyNumberFormat="1" applyFont="1" applyFill="1" applyAlignment="1" applyProtection="1">
      <alignment horizontal="left"/>
    </xf>
    <xf numFmtId="40" fontId="9" fillId="0" borderId="0" xfId="0" applyNumberFormat="1" applyFont="1" applyAlignment="1" applyProtection="1">
      <alignment horizontal="center"/>
    </xf>
    <xf numFmtId="40" fontId="9" fillId="0" borderId="0" xfId="0" applyNumberFormat="1" applyFont="1" applyAlignment="1" applyProtection="1">
      <alignment horizontal="left"/>
    </xf>
    <xf numFmtId="0" fontId="10" fillId="0" borderId="0" xfId="0" applyFont="1"/>
    <xf numFmtId="0" fontId="11" fillId="0" borderId="0" xfId="0" applyFont="1"/>
    <xf numFmtId="164" fontId="9" fillId="0" borderId="0" xfId="0" applyNumberFormat="1" applyFont="1" applyAlignment="1" applyProtection="1">
      <alignment horizontal="left"/>
    </xf>
    <xf numFmtId="164" fontId="10" fillId="0" borderId="0" xfId="0" applyNumberFormat="1" applyFont="1" applyAlignment="1" applyProtection="1">
      <alignment horizontal="left"/>
    </xf>
    <xf numFmtId="165" fontId="1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3" fillId="0" borderId="0" xfId="0" applyFont="1"/>
    <xf numFmtId="0" fontId="9" fillId="0" borderId="0" xfId="0" applyFont="1"/>
    <xf numFmtId="165" fontId="15" fillId="0" borderId="0" xfId="0" applyNumberFormat="1" applyFont="1" applyProtection="1">
      <protection locked="0"/>
    </xf>
    <xf numFmtId="165" fontId="5" fillId="0" borderId="0" xfId="0" applyNumberFormat="1" applyFont="1" applyBorder="1" applyAlignment="1" applyProtection="1">
      <alignment horizontal="left"/>
    </xf>
    <xf numFmtId="165" fontId="5" fillId="0" borderId="0" xfId="0" applyNumberFormat="1" applyFont="1" applyBorder="1" applyAlignment="1" applyProtection="1">
      <alignment horizontal="center"/>
    </xf>
    <xf numFmtId="164" fontId="9" fillId="0" borderId="3" xfId="0" applyNumberFormat="1" applyFont="1" applyBorder="1" applyAlignment="1" applyProtection="1">
      <alignment horizontal="left"/>
    </xf>
    <xf numFmtId="165" fontId="5" fillId="0" borderId="3" xfId="0" applyNumberFormat="1" applyFont="1" applyBorder="1" applyAlignment="1" applyProtection="1">
      <alignment horizontal="left"/>
    </xf>
    <xf numFmtId="165" fontId="5" fillId="0" borderId="3" xfId="0" applyNumberFormat="1" applyFont="1" applyBorder="1" applyAlignment="1" applyProtection="1">
      <alignment horizontal="center"/>
    </xf>
    <xf numFmtId="40" fontId="5" fillId="0" borderId="3" xfId="0" applyNumberFormat="1" applyFont="1" applyBorder="1" applyProtection="1"/>
    <xf numFmtId="40" fontId="0" fillId="0" borderId="3" xfId="0" applyNumberFormat="1" applyBorder="1"/>
    <xf numFmtId="0" fontId="13" fillId="0" borderId="3" xfId="0" applyFont="1" applyBorder="1"/>
    <xf numFmtId="0" fontId="5" fillId="0" borderId="3" xfId="0" applyFont="1" applyBorder="1" applyAlignment="1">
      <alignment horizontal="center"/>
    </xf>
    <xf numFmtId="40" fontId="5" fillId="2" borderId="3" xfId="0" applyNumberFormat="1" applyFont="1" applyFill="1" applyBorder="1" applyAlignment="1" applyProtection="1">
      <alignment horizontal="left"/>
    </xf>
    <xf numFmtId="0" fontId="9" fillId="0" borderId="3" xfId="0" applyFont="1" applyBorder="1"/>
    <xf numFmtId="40" fontId="5" fillId="0" borderId="3" xfId="0" applyNumberFormat="1" applyFont="1" applyBorder="1"/>
    <xf numFmtId="165" fontId="5" fillId="0" borderId="4" xfId="0" applyNumberFormat="1" applyFont="1" applyBorder="1" applyAlignment="1" applyProtection="1">
      <alignment horizontal="left"/>
    </xf>
    <xf numFmtId="40" fontId="5" fillId="2" borderId="4" xfId="0" applyNumberFormat="1" applyFont="1" applyFill="1" applyBorder="1" applyAlignment="1" applyProtection="1">
      <alignment horizontal="left"/>
    </xf>
    <xf numFmtId="164" fontId="9" fillId="0" borderId="4" xfId="0" applyNumberFormat="1" applyFont="1" applyBorder="1" applyAlignment="1" applyProtection="1">
      <alignment horizontal="left"/>
    </xf>
    <xf numFmtId="165" fontId="5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3" fillId="0" borderId="0" xfId="0" applyFont="1" applyBorder="1"/>
    <xf numFmtId="0" fontId="9" fillId="0" borderId="0" xfId="0" applyFont="1" applyBorder="1"/>
    <xf numFmtId="40" fontId="5" fillId="0" borderId="0" xfId="0" applyNumberFormat="1" applyFont="1" applyBorder="1"/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49" fontId="5" fillId="0" borderId="5" xfId="0" applyNumberFormat="1" applyFont="1" applyBorder="1" applyAlignment="1">
      <alignment horizontal="center"/>
    </xf>
    <xf numFmtId="0" fontId="5" fillId="0" borderId="6" xfId="0" applyFont="1" applyBorder="1"/>
    <xf numFmtId="165" fontId="5" fillId="0" borderId="6" xfId="0" applyNumberFormat="1" applyFont="1" applyBorder="1" applyAlignment="1" applyProtection="1">
      <alignment horizontal="left"/>
    </xf>
    <xf numFmtId="40" fontId="6" fillId="0" borderId="6" xfId="0" applyNumberFormat="1" applyFont="1" applyBorder="1" applyProtection="1">
      <protection locked="0"/>
    </xf>
    <xf numFmtId="40" fontId="6" fillId="0" borderId="0" xfId="0" applyNumberFormat="1" applyFont="1" applyBorder="1" applyProtection="1">
      <protection locked="0"/>
    </xf>
    <xf numFmtId="40" fontId="7" fillId="0" borderId="3" xfId="0" applyNumberFormat="1" applyFont="1" applyBorder="1" applyProtection="1">
      <protection locked="0"/>
    </xf>
    <xf numFmtId="40" fontId="7" fillId="0" borderId="0" xfId="0" applyNumberFormat="1" applyFont="1" applyBorder="1" applyProtection="1">
      <protection locked="0"/>
    </xf>
    <xf numFmtId="40" fontId="5" fillId="0" borderId="0" xfId="0" applyNumberFormat="1" applyFont="1" applyBorder="1" applyProtection="1"/>
    <xf numFmtId="165" fontId="6" fillId="0" borderId="0" xfId="0" applyNumberFormat="1" applyFont="1" applyBorder="1" applyProtection="1">
      <protection locked="0"/>
    </xf>
    <xf numFmtId="164" fontId="5" fillId="0" borderId="0" xfId="0" applyNumberFormat="1" applyFont="1" applyBorder="1" applyAlignment="1" applyProtection="1">
      <alignment horizontal="left"/>
    </xf>
    <xf numFmtId="164" fontId="9" fillId="0" borderId="0" xfId="0" applyNumberFormat="1" applyFont="1" applyBorder="1" applyAlignment="1" applyProtection="1">
      <alignment horizontal="left"/>
    </xf>
    <xf numFmtId="165" fontId="5" fillId="0" borderId="6" xfId="0" applyNumberFormat="1" applyFont="1" applyBorder="1" applyAlignment="1" applyProtection="1">
      <alignment horizontal="center"/>
    </xf>
    <xf numFmtId="40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164" fontId="9" fillId="0" borderId="6" xfId="0" applyNumberFormat="1" applyFont="1" applyBorder="1" applyAlignment="1" applyProtection="1">
      <alignment horizontal="left"/>
    </xf>
    <xf numFmtId="0" fontId="5" fillId="0" borderId="0" xfId="0" applyFont="1" applyBorder="1" applyAlignment="1">
      <alignment horizontal="center"/>
    </xf>
    <xf numFmtId="165" fontId="9" fillId="0" borderId="0" xfId="0" applyNumberFormat="1" applyFont="1" applyAlignment="1" applyProtection="1">
      <alignment horizontal="left"/>
    </xf>
    <xf numFmtId="40" fontId="5" fillId="0" borderId="0" xfId="0" applyNumberFormat="1" applyFont="1" applyBorder="1" applyAlignment="1">
      <alignment horizontal="center"/>
    </xf>
    <xf numFmtId="49" fontId="9" fillId="0" borderId="0" xfId="0" applyNumberFormat="1" applyFont="1" applyAlignment="1" applyProtection="1">
      <alignment horizontal="left"/>
    </xf>
    <xf numFmtId="49" fontId="5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5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7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7" fillId="0" borderId="0" xfId="0" applyNumberFormat="1" applyFont="1" applyBorder="1" applyAlignment="1" applyProtection="1">
      <alignment horizontal="right"/>
    </xf>
    <xf numFmtId="40" fontId="7" fillId="0" borderId="0" xfId="0" applyNumberFormat="1" applyFont="1" applyAlignment="1" applyProtection="1">
      <alignment horizontal="right"/>
    </xf>
    <xf numFmtId="40" fontId="7" fillId="0" borderId="3" xfId="0" applyNumberFormat="1" applyFont="1" applyBorder="1" applyAlignment="1" applyProtection="1">
      <alignment horizontal="right"/>
    </xf>
    <xf numFmtId="0" fontId="9" fillId="0" borderId="0" xfId="0" applyFont="1" applyBorder="1" applyProtection="1"/>
    <xf numFmtId="0" fontId="13" fillId="0" borderId="3" xfId="0" applyFont="1" applyBorder="1" applyProtection="1"/>
    <xf numFmtId="0" fontId="13" fillId="0" borderId="0" xfId="0" applyFont="1" applyBorder="1" applyProtection="1"/>
    <xf numFmtId="0" fontId="14" fillId="0" borderId="0" xfId="0" applyFont="1" applyBorder="1" applyProtection="1"/>
    <xf numFmtId="0" fontId="16" fillId="0" borderId="0" xfId="0" applyFont="1" applyBorder="1" applyProtection="1"/>
    <xf numFmtId="40" fontId="6" fillId="0" borderId="0" xfId="0" applyNumberFormat="1" applyFont="1" applyProtection="1"/>
    <xf numFmtId="40" fontId="17" fillId="0" borderId="0" xfId="0" applyNumberFormat="1" applyFont="1" applyProtection="1"/>
    <xf numFmtId="40" fontId="17" fillId="0" borderId="0" xfId="0" applyNumberFormat="1" applyFont="1" applyBorder="1" applyProtection="1"/>
    <xf numFmtId="40" fontId="17" fillId="0" borderId="3" xfId="0" applyNumberFormat="1" applyFont="1" applyBorder="1" applyProtection="1"/>
    <xf numFmtId="40" fontId="7" fillId="0" borderId="0" xfId="0" applyNumberFormat="1" applyFont="1" applyBorder="1" applyProtection="1"/>
    <xf numFmtId="40" fontId="17" fillId="0" borderId="0" xfId="0" applyNumberFormat="1" applyFont="1" applyBorder="1" applyAlignment="1" applyProtection="1">
      <alignment horizontal="center"/>
    </xf>
    <xf numFmtId="40" fontId="7" fillId="0" borderId="0" xfId="0" applyNumberFormat="1" applyFont="1" applyBorder="1" applyAlignment="1" applyProtection="1">
      <alignment horizontal="center"/>
    </xf>
    <xf numFmtId="0" fontId="7" fillId="0" borderId="0" xfId="0" applyNumberFormat="1" applyFont="1" applyAlignment="1" applyProtection="1">
      <alignment horizontal="center" vertical="justify"/>
    </xf>
    <xf numFmtId="40" fontId="7" fillId="0" borderId="0" xfId="0" applyNumberFormat="1" applyFont="1" applyAlignment="1" applyProtection="1">
      <alignment horizontal="center" vertical="justify"/>
    </xf>
    <xf numFmtId="40" fontId="7" fillId="0" borderId="0" xfId="0" applyNumberFormat="1" applyFont="1" applyAlignment="1" applyProtection="1">
      <alignment horizontal="right" vertical="justify"/>
    </xf>
    <xf numFmtId="0" fontId="5" fillId="0" borderId="0" xfId="0" applyFont="1" applyBorder="1" applyAlignment="1" applyProtection="1">
      <alignment horizontal="center"/>
    </xf>
    <xf numFmtId="40" fontId="7" fillId="0" borderId="0" xfId="0" applyNumberFormat="1" applyFont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40" fontId="7" fillId="0" borderId="3" xfId="0" applyNumberFormat="1" applyFont="1" applyBorder="1" applyAlignment="1" applyProtection="1">
      <alignment horizontal="right" vertical="justify"/>
    </xf>
    <xf numFmtId="40" fontId="7" fillId="0" borderId="0" xfId="0" applyNumberFormat="1" applyFont="1" applyBorder="1" applyAlignment="1" applyProtection="1">
      <alignment horizontal="right" vertical="justify"/>
    </xf>
    <xf numFmtId="49" fontId="5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6" fillId="0" borderId="0" xfId="0" applyNumberFormat="1" applyFont="1" applyAlignment="1" applyProtection="1"/>
    <xf numFmtId="40" fontId="17" fillId="0" borderId="0" xfId="0" applyNumberFormat="1" applyFont="1" applyAlignment="1" applyProtection="1">
      <alignment horizontal="center" vertical="justify"/>
    </xf>
    <xf numFmtId="40" fontId="17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3" fillId="0" borderId="0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quotePrefix="1" applyNumberFormat="1" applyFont="1" applyAlignment="1" applyProtection="1">
      <alignment horizontal="left"/>
    </xf>
    <xf numFmtId="14" fontId="5" fillId="0" borderId="0" xfId="0" quotePrefix="1" applyNumberFormat="1" applyFont="1" applyAlignment="1" applyProtection="1">
      <alignment horizontal="left"/>
    </xf>
    <xf numFmtId="40" fontId="7" fillId="0" borderId="0" xfId="0" quotePrefix="1" applyNumberFormat="1" applyFont="1" applyBorder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Continuous" vertical="justify"/>
    </xf>
    <xf numFmtId="40" fontId="17" fillId="0" borderId="0" xfId="0" applyNumberFormat="1" applyFont="1" applyAlignment="1" applyProtection="1">
      <alignment horizontal="centerContinuous"/>
    </xf>
    <xf numFmtId="40" fontId="5" fillId="0" borderId="0" xfId="0" applyNumberFormat="1" applyFont="1" applyProtection="1">
      <protection locked="0"/>
    </xf>
    <xf numFmtId="40" fontId="5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5" fillId="0" borderId="0" xfId="0" applyFont="1" applyProtection="1"/>
    <xf numFmtId="0" fontId="9" fillId="0" borderId="0" xfId="0" applyFont="1" applyProtection="1"/>
    <xf numFmtId="40" fontId="18" fillId="0" borderId="0" xfId="0" applyNumberFormat="1" applyFont="1"/>
    <xf numFmtId="40" fontId="7" fillId="0" borderId="4" xfId="0" applyNumberFormat="1" applyFont="1" applyBorder="1" applyProtection="1"/>
    <xf numFmtId="40" fontId="19" fillId="0" borderId="4" xfId="0" applyNumberFormat="1" applyFont="1" applyBorder="1"/>
    <xf numFmtId="0" fontId="0" fillId="0" borderId="0" xfId="0" applyAlignment="1"/>
    <xf numFmtId="0" fontId="5" fillId="0" borderId="0" xfId="0" applyNumberFormat="1" applyFont="1" applyAlignment="1" applyProtection="1">
      <alignment horizontal="left"/>
    </xf>
    <xf numFmtId="0" fontId="5" fillId="0" borderId="0" xfId="0" applyNumberFormat="1" applyFont="1" applyProtection="1">
      <protection locked="0"/>
    </xf>
    <xf numFmtId="40" fontId="17" fillId="0" borderId="0" xfId="0" applyNumberFormat="1" applyFont="1" applyAlignment="1" applyProtection="1"/>
    <xf numFmtId="40" fontId="7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7" fillId="0" borderId="3" xfId="0" applyNumberFormat="1" applyFont="1" applyBorder="1" applyProtection="1"/>
    <xf numFmtId="40" fontId="7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5" fillId="0" borderId="0" xfId="0" applyNumberFormat="1" applyFont="1" applyAlignment="1" applyProtection="1">
      <alignment horizontal="left"/>
    </xf>
    <xf numFmtId="40" fontId="7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7" fillId="0" borderId="0" xfId="0" applyNumberFormat="1" applyFont="1" applyBorder="1" applyAlignment="1" applyProtection="1">
      <alignment horizontal="left"/>
    </xf>
    <xf numFmtId="40" fontId="17" fillId="0" borderId="0" xfId="0" quotePrefix="1" applyNumberFormat="1" applyFont="1" applyAlignment="1" applyProtection="1">
      <alignment horizontal="left"/>
    </xf>
    <xf numFmtId="0" fontId="7" fillId="0" borderId="3" xfId="0" applyNumberFormat="1" applyFont="1" applyBorder="1" applyAlignment="1" applyProtection="1">
      <alignment horizontal="center" vertical="justify"/>
    </xf>
    <xf numFmtId="40" fontId="7" fillId="0" borderId="3" xfId="0" applyNumberFormat="1" applyFont="1" applyBorder="1" applyAlignment="1" applyProtection="1">
      <alignment horizontal="center" vertical="justify"/>
    </xf>
    <xf numFmtId="40" fontId="20" fillId="0" borderId="0" xfId="0" quotePrefix="1" applyNumberFormat="1" applyFont="1" applyBorder="1" applyAlignment="1" applyProtection="1">
      <alignment horizontal="center" vertical="justify"/>
    </xf>
    <xf numFmtId="40" fontId="20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3" xfId="0" applyFont="1" applyBorder="1" applyAlignment="1" applyProtection="1">
      <alignment horizontal="left"/>
    </xf>
    <xf numFmtId="0" fontId="5" fillId="0" borderId="0" xfId="0" applyFont="1" applyAlignment="1">
      <alignment horizontal="left"/>
    </xf>
    <xf numFmtId="49" fontId="23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0" fontId="24" fillId="0" borderId="0" xfId="0" applyFont="1" applyBorder="1" applyAlignment="1" applyProtection="1">
      <alignment horizontal="center"/>
    </xf>
    <xf numFmtId="14" fontId="24" fillId="0" borderId="0" xfId="0" quotePrefix="1" applyNumberFormat="1" applyFont="1" applyAlignment="1" applyProtection="1">
      <alignment horizontal="left"/>
    </xf>
    <xf numFmtId="40" fontId="20" fillId="0" borderId="0" xfId="0" applyNumberFormat="1" applyFont="1" applyAlignment="1" applyProtection="1">
      <alignment horizontal="right" vertical="justify"/>
    </xf>
    <xf numFmtId="40" fontId="20" fillId="0" borderId="0" xfId="0" quotePrefix="1" applyNumberFormat="1" applyFont="1" applyAlignment="1" applyProtection="1">
      <alignment horizontal="left" vertical="justify"/>
    </xf>
    <xf numFmtId="40" fontId="20" fillId="0" borderId="0" xfId="0" applyNumberFormat="1" applyFont="1" applyAlignment="1" applyProtection="1">
      <alignment horizontal="center" vertical="justify"/>
      <protection locked="0"/>
    </xf>
    <xf numFmtId="40" fontId="20" fillId="0" borderId="0" xfId="0" applyNumberFormat="1" applyFont="1" applyAlignment="1" applyProtection="1">
      <alignment horizontal="right"/>
    </xf>
    <xf numFmtId="165" fontId="25" fillId="0" borderId="0" xfId="0" applyNumberFormat="1" applyFont="1" applyProtection="1">
      <protection locked="0"/>
    </xf>
    <xf numFmtId="0" fontId="24" fillId="0" borderId="0" xfId="0" applyFont="1"/>
    <xf numFmtId="164" fontId="26" fillId="0" borderId="0" xfId="0" applyNumberFormat="1" applyFont="1" applyAlignment="1" applyProtection="1">
      <alignment horizontal="left"/>
    </xf>
    <xf numFmtId="40" fontId="7" fillId="0" borderId="0" xfId="0" applyNumberFormat="1" applyFont="1" applyAlignment="1" applyProtection="1">
      <alignment horizontal="left"/>
    </xf>
    <xf numFmtId="40" fontId="22" fillId="0" borderId="3" xfId="0" applyNumberFormat="1" applyFont="1" applyBorder="1" applyProtection="1"/>
    <xf numFmtId="40" fontId="22" fillId="0" borderId="0" xfId="0" applyNumberFormat="1" applyFont="1" applyProtection="1"/>
    <xf numFmtId="0" fontId="0" fillId="0" borderId="0" xfId="0" applyBorder="1" applyProtection="1">
      <protection locked="0"/>
    </xf>
    <xf numFmtId="49" fontId="5" fillId="0" borderId="0" xfId="0" applyNumberFormat="1" applyFont="1" applyBorder="1" applyProtection="1">
      <protection locked="0"/>
    </xf>
    <xf numFmtId="40" fontId="5" fillId="0" borderId="0" xfId="0" quotePrefix="1" applyNumberFormat="1" applyFont="1" applyBorder="1" applyAlignment="1">
      <alignment horizontal="center"/>
    </xf>
    <xf numFmtId="40" fontId="17" fillId="0" borderId="0" xfId="0" quotePrefix="1" applyNumberFormat="1" applyFont="1" applyProtection="1"/>
    <xf numFmtId="38" fontId="0" fillId="0" borderId="0" xfId="0" applyNumberFormat="1"/>
    <xf numFmtId="38" fontId="13" fillId="0" borderId="0" xfId="0" applyNumberFormat="1" applyFont="1"/>
    <xf numFmtId="0" fontId="13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3" fillId="0" borderId="0" xfId="0" applyNumberFormat="1" applyFont="1"/>
    <xf numFmtId="0" fontId="14" fillId="0" borderId="0" xfId="0" applyFont="1"/>
    <xf numFmtId="49" fontId="29" fillId="0" borderId="0" xfId="0" applyNumberFormat="1" applyFont="1"/>
    <xf numFmtId="0" fontId="30" fillId="0" borderId="0" xfId="0" applyFont="1"/>
    <xf numFmtId="0" fontId="30" fillId="0" borderId="0" xfId="0" quotePrefix="1" applyFont="1" applyAlignment="1">
      <alignment horizontal="left"/>
    </xf>
    <xf numFmtId="0" fontId="14" fillId="0" borderId="0" xfId="0" quotePrefix="1" applyFont="1" applyBorder="1" applyAlignment="1" applyProtection="1">
      <alignment horizontal="left"/>
    </xf>
    <xf numFmtId="40" fontId="7" fillId="0" borderId="0" xfId="0" quotePrefix="1" applyNumberFormat="1" applyFont="1" applyAlignment="1" applyProtection="1">
      <alignment horizontal="left"/>
    </xf>
    <xf numFmtId="0" fontId="5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/>
    </xf>
    <xf numFmtId="40" fontId="7" fillId="0" borderId="4" xfId="0" applyNumberFormat="1" applyFont="1" applyBorder="1" applyAlignment="1" applyProtection="1">
      <alignment horizontal="right"/>
    </xf>
    <xf numFmtId="40" fontId="5" fillId="2" borderId="0" xfId="0" applyNumberFormat="1" applyFont="1" applyFill="1" applyBorder="1" applyAlignment="1" applyProtection="1">
      <alignment horizontal="left"/>
    </xf>
    <xf numFmtId="0" fontId="5" fillId="0" borderId="3" xfId="0" applyNumberFormat="1" applyFont="1" applyBorder="1" applyAlignment="1" applyProtection="1">
      <alignment horizontal="center"/>
    </xf>
    <xf numFmtId="0" fontId="5" fillId="0" borderId="3" xfId="0" applyNumberFormat="1" applyFont="1" applyBorder="1" applyAlignment="1" applyProtection="1">
      <alignment horizontal="left"/>
    </xf>
    <xf numFmtId="0" fontId="5" fillId="0" borderId="4" xfId="0" applyNumberFormat="1" applyFont="1" applyBorder="1" applyAlignment="1" applyProtection="1">
      <alignment horizontal="left"/>
    </xf>
    <xf numFmtId="164" fontId="24" fillId="0" borderId="0" xfId="0" applyNumberFormat="1" applyFont="1" applyAlignment="1" applyProtection="1">
      <alignment horizontal="left"/>
    </xf>
    <xf numFmtId="40" fontId="24" fillId="0" borderId="0" xfId="0" applyNumberFormat="1" applyFont="1" applyProtection="1"/>
    <xf numFmtId="40" fontId="7" fillId="0" borderId="5" xfId="0" applyNumberFormat="1" applyFont="1" applyBorder="1" applyProtection="1"/>
    <xf numFmtId="0" fontId="5" fillId="0" borderId="5" xfId="0" applyFont="1" applyBorder="1" applyAlignment="1">
      <alignment horizontal="center"/>
    </xf>
    <xf numFmtId="0" fontId="5" fillId="0" borderId="5" xfId="0" applyNumberFormat="1" applyFont="1" applyBorder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left"/>
    </xf>
    <xf numFmtId="40" fontId="6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5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3" fillId="3" borderId="0" xfId="0" applyNumberFormat="1" applyFont="1" applyFill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4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3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4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5" fillId="4" borderId="0" xfId="0" applyNumberFormat="1" applyFont="1" applyFill="1" applyAlignment="1" applyProtection="1">
      <alignment horizontal="center"/>
    </xf>
    <xf numFmtId="40" fontId="24" fillId="0" borderId="0" xfId="0" applyNumberFormat="1" applyFont="1" applyAlignment="1" applyProtection="1">
      <alignment horizontal="center"/>
    </xf>
    <xf numFmtId="40" fontId="24" fillId="0" borderId="0" xfId="0" applyNumberFormat="1" applyFont="1"/>
    <xf numFmtId="0" fontId="9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0" fontId="13" fillId="0" borderId="14" xfId="0" applyNumberFormat="1" applyFont="1" applyBorder="1"/>
    <xf numFmtId="4" fontId="13" fillId="0" borderId="0" xfId="0" applyNumberFormat="1" applyFont="1" applyBorder="1"/>
    <xf numFmtId="4" fontId="13" fillId="0" borderId="5" xfId="0" applyNumberFormat="1" applyFont="1" applyBorder="1"/>
    <xf numFmtId="49" fontId="8" fillId="0" borderId="0" xfId="0" applyNumberFormat="1" applyFont="1"/>
    <xf numFmtId="0" fontId="13" fillId="0" borderId="0" xfId="0" applyFont="1" applyAlignment="1">
      <alignment horizontal="right"/>
    </xf>
    <xf numFmtId="4" fontId="13" fillId="0" borderId="14" xfId="0" applyNumberFormat="1" applyFont="1" applyBorder="1"/>
    <xf numFmtId="40" fontId="13" fillId="0" borderId="14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center"/>
    </xf>
    <xf numFmtId="40" fontId="9" fillId="0" borderId="0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164" fontId="27" fillId="0" borderId="0" xfId="0" applyNumberFormat="1" applyFont="1" applyAlignment="1" applyProtection="1">
      <alignment horizontal="left"/>
    </xf>
    <xf numFmtId="4" fontId="8" fillId="0" borderId="0" xfId="0" applyNumberFormat="1" applyFont="1" applyProtection="1">
      <protection locked="0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3" fillId="0" borderId="0" xfId="0" applyNumberFormat="1" applyFont="1"/>
    <xf numFmtId="40" fontId="13" fillId="0" borderId="8" xfId="0" applyNumberFormat="1" applyFont="1" applyBorder="1"/>
    <xf numFmtId="2" fontId="8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166" fontId="13" fillId="0" borderId="0" xfId="0" applyNumberFormat="1" applyFont="1"/>
    <xf numFmtId="0" fontId="13" fillId="0" borderId="1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5" fillId="0" borderId="0" xfId="0" applyFont="1"/>
    <xf numFmtId="49" fontId="30" fillId="0" borderId="0" xfId="0" applyNumberFormat="1" applyFont="1" applyAlignment="1">
      <alignment horizontal="left"/>
    </xf>
    <xf numFmtId="0" fontId="8" fillId="0" borderId="0" xfId="0" applyFont="1"/>
    <xf numFmtId="166" fontId="8" fillId="0" borderId="0" xfId="0" applyNumberFormat="1" applyFont="1"/>
    <xf numFmtId="0" fontId="40" fillId="0" borderId="0" xfId="0" applyFont="1"/>
    <xf numFmtId="0" fontId="29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0" fontId="6" fillId="0" borderId="0" xfId="4" applyNumberFormat="1" applyFont="1" applyProtection="1">
      <protection locked="0"/>
    </xf>
    <xf numFmtId="40" fontId="6" fillId="0" borderId="0" xfId="4" applyNumberFormat="1" applyFont="1" applyProtection="1">
      <protection locked="0"/>
    </xf>
    <xf numFmtId="40" fontId="6" fillId="0" borderId="0" xfId="4" applyNumberFormat="1" applyFont="1" applyProtection="1">
      <protection locked="0"/>
    </xf>
    <xf numFmtId="40" fontId="6" fillId="0" borderId="0" xfId="4" applyNumberFormat="1" applyFont="1" applyProtection="1">
      <protection locked="0"/>
    </xf>
    <xf numFmtId="40" fontId="6" fillId="0" borderId="0" xfId="4" applyNumberFormat="1" applyFont="1" applyProtection="1">
      <protection locked="0"/>
    </xf>
    <xf numFmtId="40" fontId="6" fillId="0" borderId="0" xfId="4" applyNumberFormat="1" applyFont="1" applyProtection="1">
      <protection locked="0"/>
    </xf>
    <xf numFmtId="40" fontId="6" fillId="0" borderId="0" xfId="24" applyNumberFormat="1" applyFont="1" applyProtection="1">
      <protection locked="0"/>
    </xf>
    <xf numFmtId="40" fontId="7" fillId="0" borderId="0" xfId="0" applyNumberFormat="1" applyFont="1" applyProtection="1">
      <protection locked="0"/>
    </xf>
    <xf numFmtId="40" fontId="6" fillId="0" borderId="0" xfId="0" applyNumberFormat="1" applyFont="1" applyProtection="1">
      <protection locked="0"/>
    </xf>
    <xf numFmtId="38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0" fontId="6" fillId="0" borderId="5" xfId="0" applyNumberFormat="1" applyFont="1" applyBorder="1" applyProtection="1">
      <protection locked="0"/>
    </xf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0" xfId="0" applyAlignment="1"/>
    <xf numFmtId="0" fontId="28" fillId="0" borderId="0" xfId="0" applyFont="1" applyAlignment="1">
      <alignment horizontal="center"/>
    </xf>
    <xf numFmtId="49" fontId="13" fillId="0" borderId="0" xfId="0" applyNumberFormat="1" applyFont="1" applyAlignment="1" applyProtection="1">
      <alignment horizontal="center"/>
    </xf>
    <xf numFmtId="49" fontId="14" fillId="0" borderId="0" xfId="0" applyNumberFormat="1" applyFont="1" applyBorder="1" applyAlignment="1" applyProtection="1">
      <alignment horizontal="left"/>
      <protection locked="0"/>
    </xf>
    <xf numFmtId="49" fontId="14" fillId="0" borderId="10" xfId="0" applyNumberFormat="1" applyFont="1" applyBorder="1" applyAlignment="1" applyProtection="1">
      <alignment horizontal="left"/>
      <protection locked="0"/>
    </xf>
    <xf numFmtId="49" fontId="14" fillId="0" borderId="13" xfId="0" applyNumberFormat="1" applyFont="1" applyBorder="1" applyAlignment="1" applyProtection="1">
      <alignment horizontal="left"/>
      <protection locked="0"/>
    </xf>
    <xf numFmtId="49" fontId="14" fillId="0" borderId="21" xfId="0" applyNumberFormat="1" applyFont="1" applyBorder="1" applyAlignment="1" applyProtection="1">
      <alignment horizontal="left"/>
      <protection locked="0"/>
    </xf>
    <xf numFmtId="0" fontId="32" fillId="0" borderId="0" xfId="0" applyFont="1" applyAlignment="1" applyProtection="1">
      <alignment horizontal="center"/>
    </xf>
    <xf numFmtId="49" fontId="14" fillId="0" borderId="0" xfId="0" applyNumberFormat="1" applyFont="1" applyAlignment="1" applyProtection="1">
      <alignment horizontal="left"/>
      <protection locked="0"/>
    </xf>
    <xf numFmtId="49" fontId="14" fillId="0" borderId="0" xfId="0" applyNumberFormat="1" applyFont="1" applyAlignment="1" applyProtection="1">
      <alignment horizontal="left"/>
    </xf>
    <xf numFmtId="49" fontId="14" fillId="0" borderId="0" xfId="0" applyNumberFormat="1" applyFont="1" applyBorder="1" applyAlignment="1" applyProtection="1">
      <alignment horizontal="left"/>
    </xf>
    <xf numFmtId="49" fontId="14" fillId="0" borderId="10" xfId="0" applyNumberFormat="1" applyFont="1" applyBorder="1" applyAlignment="1" applyProtection="1">
      <alignment horizontal="left"/>
    </xf>
    <xf numFmtId="0" fontId="31" fillId="0" borderId="22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34" fillId="0" borderId="0" xfId="0" applyNumberFormat="1" applyFont="1" applyBorder="1" applyAlignment="1"/>
    <xf numFmtId="0" fontId="34" fillId="0" borderId="0" xfId="0" applyFont="1" applyBorder="1" applyAlignment="1"/>
    <xf numFmtId="0" fontId="33" fillId="0" borderId="11" xfId="0" applyFont="1" applyBorder="1" applyAlignment="1">
      <alignment horizontal="center"/>
    </xf>
    <xf numFmtId="0" fontId="33" fillId="0" borderId="0" xfId="0" applyFont="1" applyBorder="1" applyAlignment="1">
      <alignment horizontal="center"/>
    </xf>
  </cellXfs>
  <cellStyles count="54">
    <cellStyle name="Comma 10" xfId="53"/>
    <cellStyle name="Comma 2" xfId="2"/>
    <cellStyle name="Comma 2 2" xfId="26"/>
    <cellStyle name="Comma 3" xfId="6"/>
    <cellStyle name="Comma 3 2" xfId="30"/>
    <cellStyle name="Comma 4" xfId="5"/>
    <cellStyle name="Comma 4 2" xfId="29"/>
    <cellStyle name="Comma 5" xfId="8"/>
    <cellStyle name="Comma 5 2" xfId="32"/>
    <cellStyle name="Comma 6" xfId="10"/>
    <cellStyle name="Comma 6 2" xfId="34"/>
    <cellStyle name="Comma 7" xfId="12"/>
    <cellStyle name="Comma 7 2" xfId="36"/>
    <cellStyle name="Comma 8" xfId="14"/>
    <cellStyle name="Comma 8 2" xfId="38"/>
    <cellStyle name="Comma 9" xfId="16"/>
    <cellStyle name="Comma 9 2" xfId="40"/>
    <cellStyle name="Currency 2" xfId="3"/>
    <cellStyle name="Currency 2 2" xfId="27"/>
    <cellStyle name="Currency 3" xfId="7"/>
    <cellStyle name="Currency 3 2" xfId="31"/>
    <cellStyle name="Currency 4" xfId="9"/>
    <cellStyle name="Currency 4 2" xfId="33"/>
    <cellStyle name="Currency 5" xfId="11"/>
    <cellStyle name="Currency 5 2" xfId="35"/>
    <cellStyle name="Currency 6" xfId="13"/>
    <cellStyle name="Currency 6 2" xfId="37"/>
    <cellStyle name="Currency 7" xfId="15"/>
    <cellStyle name="Currency 7 2" xfId="39"/>
    <cellStyle name="Currency 8" xfId="17"/>
    <cellStyle name="Currency 8 2" xfId="41"/>
    <cellStyle name="Currency 9" xfId="18"/>
    <cellStyle name="Currency 9 2" xfId="42"/>
    <cellStyle name="Hyperlink 2" xfId="51"/>
    <cellStyle name="Normal" xfId="0" builtinId="0"/>
    <cellStyle name="Normal 2" xfId="4"/>
    <cellStyle name="Normal 2 2" xfId="28"/>
    <cellStyle name="Normal 2 3" xfId="23"/>
    <cellStyle name="Normal 2 4" xfId="21"/>
    <cellStyle name="Normal 2 5" xfId="52"/>
    <cellStyle name="Normal 3" xfId="1"/>
    <cellStyle name="Normal 3 2" xfId="25"/>
    <cellStyle name="Normal 3 2 2" xfId="50"/>
    <cellStyle name="Normal 3 3" xfId="48"/>
    <cellStyle name="Normal 4" xfId="19"/>
    <cellStyle name="Normal 4 2" xfId="43"/>
    <cellStyle name="Normal 4 3" xfId="45"/>
    <cellStyle name="Normal 5" xfId="20"/>
    <cellStyle name="Normal 5 2" xfId="44"/>
    <cellStyle name="Normal 5 3" xfId="22"/>
    <cellStyle name="Normal 5 4" xfId="49"/>
    <cellStyle name="Normal 6" xfId="24"/>
    <cellStyle name="Normal 6 2" xfId="47"/>
    <cellStyle name="Normal 7" xfId="46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916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1176722.65-7851.86</f>
        <v>1168870.7899999998</v>
      </c>
      <c r="G9" s="18">
        <f>7.25+188</f>
        <v>195.25</v>
      </c>
      <c r="H9" s="18">
        <v>0</v>
      </c>
      <c r="I9" s="18">
        <v>0</v>
      </c>
      <c r="J9" s="67">
        <f>SUM(I439)</f>
        <v>135328.38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280">
        <f>567097.58-11452.44</f>
        <v>555645.14</v>
      </c>
      <c r="G10" s="18">
        <v>0</v>
      </c>
      <c r="H10" s="18">
        <v>0</v>
      </c>
      <c r="I10" s="18">
        <v>0</v>
      </c>
      <c r="J10" s="67">
        <f>SUM(I440)</f>
        <v>240223.15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280">
        <f>223200.64-60000</f>
        <v>163200.64000000001</v>
      </c>
      <c r="G12" s="18">
        <v>22573.17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280">
        <v>38031.96</v>
      </c>
      <c r="G13" s="18">
        <v>21319</v>
      </c>
      <c r="H13" s="18">
        <f>288789.33+6150</f>
        <v>294939.33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280">
        <f>6241.63-5230.04</f>
        <v>1011.5900000000001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6365.17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280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1926760.1199999999</v>
      </c>
      <c r="G19" s="41">
        <f>SUM(G9:G18)</f>
        <v>50452.59</v>
      </c>
      <c r="H19" s="41">
        <f>SUM(H9:H18)</f>
        <v>294939.33</v>
      </c>
      <c r="I19" s="41">
        <f>SUM(I9:I18)</f>
        <v>0</v>
      </c>
      <c r="J19" s="41">
        <f>SUM(J9:J18)</f>
        <v>375551.53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187904.97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66382.39+1.9</f>
        <v>66384.289999999994</v>
      </c>
      <c r="G24" s="18">
        <v>3620.93</v>
      </c>
      <c r="H24" s="18">
        <v>6150</v>
      </c>
      <c r="I24" s="18">
        <v>0</v>
      </c>
      <c r="J24" s="67">
        <f>SUM(I450)</f>
        <v>110000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280">
        <v>81185.8</v>
      </c>
      <c r="G28" s="18">
        <v>3004.11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48678.080000000002</v>
      </c>
      <c r="G30" s="18">
        <v>18790.46</v>
      </c>
      <c r="H30" s="18">
        <v>100884.36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196248.16999999998</v>
      </c>
      <c r="G32" s="41">
        <f>SUM(G22:G31)</f>
        <v>25415.5</v>
      </c>
      <c r="H32" s="41">
        <f>SUM(H22:H31)</f>
        <v>294939.33</v>
      </c>
      <c r="I32" s="41">
        <f>SUM(I22:I31)</f>
        <v>0</v>
      </c>
      <c r="J32" s="41">
        <f>SUM(J22:J31)</f>
        <v>110000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6365.17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117491.85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280">
        <v>0</v>
      </c>
      <c r="G43" s="280">
        <v>0</v>
      </c>
      <c r="H43" s="280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f>25037.09-6365.17</f>
        <v>18671.919999999998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148059.68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558647.11+78696.88</f>
        <v>637343.99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1171864.84-250000-78696.88-60000</f>
        <v>783167.96000000008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1730511.9500000002</v>
      </c>
      <c r="G51" s="41">
        <f>SUM(G35:G50)</f>
        <v>25037.089999999997</v>
      </c>
      <c r="H51" s="41">
        <f>SUM(H35:H50)</f>
        <v>0</v>
      </c>
      <c r="I51" s="41">
        <f>SUM(I35:I50)</f>
        <v>0</v>
      </c>
      <c r="J51" s="41">
        <f>SUM(J35:J50)</f>
        <v>265551.53000000003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1926760.12</v>
      </c>
      <c r="G52" s="41">
        <f>G51+G32</f>
        <v>50452.59</v>
      </c>
      <c r="H52" s="41">
        <f>H51+H32</f>
        <v>294939.33</v>
      </c>
      <c r="I52" s="41">
        <f>I51+I32</f>
        <v>0</v>
      </c>
      <c r="J52" s="41">
        <f>J51+J32</f>
        <v>375551.53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10930547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10930547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74847.710000000006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74867.710000000006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3141.87</v>
      </c>
      <c r="G96" s="18">
        <v>115.34</v>
      </c>
      <c r="H96" s="18">
        <v>0</v>
      </c>
      <c r="I96" s="18">
        <v>0</v>
      </c>
      <c r="J96" s="18">
        <v>24.98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232649.56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1433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15500</v>
      </c>
      <c r="G102" s="18">
        <v>0</v>
      </c>
      <c r="H102" s="18"/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4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595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246656.54+55761.49</f>
        <v>302418.03000000003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323087.90000000002</v>
      </c>
      <c r="G111" s="41">
        <f>SUM(G96:G110)</f>
        <v>232764.9</v>
      </c>
      <c r="H111" s="41">
        <f>SUM(H96:H110)</f>
        <v>0</v>
      </c>
      <c r="I111" s="41">
        <f>SUM(I96:I110)</f>
        <v>0</v>
      </c>
      <c r="J111" s="41">
        <f>SUM(J96:J110)</f>
        <v>24.98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11328502.610000001</v>
      </c>
      <c r="G112" s="41">
        <f>G60+G111</f>
        <v>232764.9</v>
      </c>
      <c r="H112" s="41">
        <f>H60+H79+H94+H111</f>
        <v>0</v>
      </c>
      <c r="I112" s="41">
        <f>I60+I111</f>
        <v>0</v>
      </c>
      <c r="J112" s="41">
        <f>J60+J111</f>
        <v>24.98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3370543.94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4164401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7534944.9399999995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97426.2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147265.84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10140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6275.07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254832.03999999998</v>
      </c>
      <c r="G136" s="41">
        <f>SUM(G123:G135)</f>
        <v>6275.07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7789776.9799999995</v>
      </c>
      <c r="G140" s="41">
        <f>G121+SUM(G136:G137)</f>
        <v>6275.07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f>1024113.69-263671.3+131801.52</f>
        <v>892243.90999999992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892243.90999999992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281875.39-6275.07</f>
        <v>275600.32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263671.3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277433.7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109352.2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386785.9</v>
      </c>
      <c r="G162" s="41">
        <f>SUM(G150:G161)</f>
        <v>275600.32</v>
      </c>
      <c r="H162" s="41">
        <f>SUM(H150:H161)</f>
        <v>263671.3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2743.66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389529.56</v>
      </c>
      <c r="G169" s="41">
        <f>G147+G162+SUM(G163:G168)</f>
        <v>275600.32</v>
      </c>
      <c r="H169" s="41">
        <f>H147+H162+SUM(H163:H168)</f>
        <v>1155915.21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25000+78696.88</f>
        <v>103696.88</v>
      </c>
      <c r="H179" s="18">
        <v>0</v>
      </c>
      <c r="I179" s="18">
        <v>0</v>
      </c>
      <c r="J179" s="18">
        <v>60000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103696.88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110000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110000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110000</v>
      </c>
      <c r="G192" s="41">
        <f>G183+SUM(G188:G191)</f>
        <v>103696.88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19617809.149999999</v>
      </c>
      <c r="G193" s="47">
        <f>G112+G140+G169+G192</f>
        <v>618337.17000000004</v>
      </c>
      <c r="H193" s="47">
        <f>H112+H140+H169+H192</f>
        <v>1155915.21</v>
      </c>
      <c r="I193" s="47">
        <f>I112+I140+I169+I192</f>
        <v>0</v>
      </c>
      <c r="J193" s="47">
        <f>J112+J140+J192</f>
        <v>60024.98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2021167.67</v>
      </c>
      <c r="G197" s="18">
        <v>978535.79</v>
      </c>
      <c r="H197" s="18">
        <v>31923.279999999999</v>
      </c>
      <c r="I197" s="18">
        <v>90856.17</v>
      </c>
      <c r="J197" s="18">
        <v>8070.43</v>
      </c>
      <c r="K197" s="18">
        <v>312</v>
      </c>
      <c r="L197" s="19">
        <f>SUM(F197:K197)</f>
        <v>3130865.34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824368.26</v>
      </c>
      <c r="G198" s="18">
        <v>430949.5</v>
      </c>
      <c r="H198" s="18">
        <v>96840.99</v>
      </c>
      <c r="I198" s="18">
        <v>6009.68</v>
      </c>
      <c r="J198" s="18">
        <v>870.48</v>
      </c>
      <c r="K198" s="18">
        <v>0</v>
      </c>
      <c r="L198" s="19">
        <f>SUM(F198:K198)</f>
        <v>1359038.91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31390.23</v>
      </c>
      <c r="G200" s="18">
        <v>40492.28</v>
      </c>
      <c r="H200" s="18">
        <v>13772.74</v>
      </c>
      <c r="I200" s="18">
        <v>124.74</v>
      </c>
      <c r="J200" s="18">
        <v>0</v>
      </c>
      <c r="K200" s="18">
        <v>0</v>
      </c>
      <c r="L200" s="19">
        <f>SUM(F200:K200)</f>
        <v>85779.99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571745.53</v>
      </c>
      <c r="G202" s="18">
        <v>274178.37</v>
      </c>
      <c r="H202" s="18">
        <v>229277.27</v>
      </c>
      <c r="I202" s="18">
        <v>14765.67</v>
      </c>
      <c r="J202" s="18">
        <v>4408.28</v>
      </c>
      <c r="K202" s="18">
        <v>331</v>
      </c>
      <c r="L202" s="19">
        <f t="shared" ref="L202:L208" si="0">SUM(F202:K202)</f>
        <v>1094706.1199999999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89009.13</v>
      </c>
      <c r="G203" s="18">
        <v>44560.58</v>
      </c>
      <c r="H203" s="18">
        <v>39686.519999999997</v>
      </c>
      <c r="I203" s="18">
        <v>17583.59</v>
      </c>
      <c r="J203" s="18">
        <v>126900.08</v>
      </c>
      <c r="K203" s="18">
        <v>51426.63</v>
      </c>
      <c r="L203" s="19">
        <f t="shared" si="0"/>
        <v>369166.53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285638.18</v>
      </c>
      <c r="G204" s="18">
        <v>134704.26999999999</v>
      </c>
      <c r="H204" s="18">
        <v>49219.1</v>
      </c>
      <c r="I204" s="18">
        <v>11617.11</v>
      </c>
      <c r="J204" s="18">
        <v>884.14</v>
      </c>
      <c r="K204" s="18">
        <v>12311.33</v>
      </c>
      <c r="L204" s="19">
        <f t="shared" si="0"/>
        <v>494374.12999999995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416354.01</v>
      </c>
      <c r="G205" s="18">
        <v>173565.65</v>
      </c>
      <c r="H205" s="18">
        <v>13172.34</v>
      </c>
      <c r="I205" s="18">
        <v>1583.87</v>
      </c>
      <c r="J205" s="18">
        <v>208.05</v>
      </c>
      <c r="K205" s="18">
        <v>3522.09</v>
      </c>
      <c r="L205" s="19">
        <f t="shared" si="0"/>
        <v>608406.01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209238.49</v>
      </c>
      <c r="G207" s="18">
        <v>75556.31</v>
      </c>
      <c r="H207" s="18">
        <v>99904.51</v>
      </c>
      <c r="I207" s="18">
        <v>216117.36</v>
      </c>
      <c r="J207" s="18">
        <v>12024.01</v>
      </c>
      <c r="K207" s="18">
        <v>0</v>
      </c>
      <c r="L207" s="19">
        <f t="shared" si="0"/>
        <v>612840.67999999993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553446.61</v>
      </c>
      <c r="I208" s="18">
        <v>79693.88</v>
      </c>
      <c r="J208" s="18">
        <v>0</v>
      </c>
      <c r="K208" s="18">
        <v>0</v>
      </c>
      <c r="L208" s="19">
        <f t="shared" si="0"/>
        <v>633140.49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4448911.5</v>
      </c>
      <c r="G211" s="41">
        <f t="shared" si="1"/>
        <v>2152542.75</v>
      </c>
      <c r="H211" s="41">
        <f t="shared" si="1"/>
        <v>1127243.3599999999</v>
      </c>
      <c r="I211" s="41">
        <f t="shared" si="1"/>
        <v>438352.07</v>
      </c>
      <c r="J211" s="41">
        <f t="shared" si="1"/>
        <v>153365.47</v>
      </c>
      <c r="K211" s="41">
        <f t="shared" si="1"/>
        <v>67903.05</v>
      </c>
      <c r="L211" s="41">
        <f t="shared" si="1"/>
        <v>8388318.2000000002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1202591.24</v>
      </c>
      <c r="G215" s="18">
        <v>539208.5</v>
      </c>
      <c r="H215" s="18">
        <v>26893.33</v>
      </c>
      <c r="I215" s="18">
        <v>25692.42</v>
      </c>
      <c r="J215" s="18">
        <v>7206.4</v>
      </c>
      <c r="K215" s="18">
        <v>886.5</v>
      </c>
      <c r="L215" s="19">
        <f>SUM(F215:K215)</f>
        <v>1802478.39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454961.6</v>
      </c>
      <c r="G216" s="18">
        <v>269821.32</v>
      </c>
      <c r="H216" s="18">
        <v>39618.78</v>
      </c>
      <c r="I216" s="18">
        <v>973.23</v>
      </c>
      <c r="J216" s="18">
        <v>0</v>
      </c>
      <c r="K216" s="18">
        <v>0</v>
      </c>
      <c r="L216" s="19">
        <f>SUM(F216:K216)</f>
        <v>765374.92999999993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48676.41</v>
      </c>
      <c r="G218" s="18">
        <v>14699.03</v>
      </c>
      <c r="H218" s="18">
        <v>3200.01</v>
      </c>
      <c r="I218" s="18">
        <v>2284.77</v>
      </c>
      <c r="J218" s="18">
        <v>6325.97</v>
      </c>
      <c r="K218" s="18">
        <v>8837.5</v>
      </c>
      <c r="L218" s="19">
        <f>SUM(F218:K218)</f>
        <v>84023.69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237904.87</v>
      </c>
      <c r="G220" s="18">
        <v>123428.25</v>
      </c>
      <c r="H220" s="18">
        <v>53978.85</v>
      </c>
      <c r="I220" s="18">
        <v>6926.96</v>
      </c>
      <c r="J220" s="18">
        <v>78.45</v>
      </c>
      <c r="K220" s="18">
        <v>188</v>
      </c>
      <c r="L220" s="19">
        <f t="shared" ref="L220:L226" si="2">SUM(F220:K220)</f>
        <v>422505.38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87710.55</v>
      </c>
      <c r="G221" s="18">
        <v>36949.03</v>
      </c>
      <c r="H221" s="18">
        <v>21758.01</v>
      </c>
      <c r="I221" s="18">
        <v>11583.53</v>
      </c>
      <c r="J221" s="18">
        <v>79969.77</v>
      </c>
      <c r="K221" s="18">
        <v>26022.97</v>
      </c>
      <c r="L221" s="19">
        <f t="shared" si="2"/>
        <v>263993.86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124339.1</v>
      </c>
      <c r="G222" s="18">
        <v>59728.77</v>
      </c>
      <c r="H222" s="18">
        <v>21590.14</v>
      </c>
      <c r="I222" s="18">
        <v>5080.97</v>
      </c>
      <c r="J222" s="18">
        <v>386.82</v>
      </c>
      <c r="K222" s="18">
        <v>4140.6099999999997</v>
      </c>
      <c r="L222" s="19">
        <f t="shared" si="2"/>
        <v>215266.41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183981.64</v>
      </c>
      <c r="G223" s="18">
        <v>79213.13</v>
      </c>
      <c r="H223" s="18">
        <v>9951.52</v>
      </c>
      <c r="I223" s="18">
        <v>684.12</v>
      </c>
      <c r="J223" s="18">
        <v>502.99</v>
      </c>
      <c r="K223" s="18">
        <v>2274.9899999999998</v>
      </c>
      <c r="L223" s="19">
        <f t="shared" si="2"/>
        <v>276608.39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119909.58</v>
      </c>
      <c r="G225" s="18">
        <v>46121.98</v>
      </c>
      <c r="H225" s="18">
        <v>98520.15</v>
      </c>
      <c r="I225" s="18">
        <v>102693.81</v>
      </c>
      <c r="J225" s="18">
        <v>43045.47</v>
      </c>
      <c r="K225" s="18">
        <v>0</v>
      </c>
      <c r="L225" s="19">
        <f t="shared" si="2"/>
        <v>410290.99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239529.75</v>
      </c>
      <c r="I226" s="18">
        <v>34866.050000000003</v>
      </c>
      <c r="J226" s="18">
        <v>0</v>
      </c>
      <c r="K226" s="18">
        <v>0</v>
      </c>
      <c r="L226" s="19">
        <f t="shared" si="2"/>
        <v>274395.8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2460074.9899999998</v>
      </c>
      <c r="G229" s="41">
        <f>SUM(G215:G228)</f>
        <v>1169170.0100000002</v>
      </c>
      <c r="H229" s="41">
        <f>SUM(H215:H228)</f>
        <v>515040.54</v>
      </c>
      <c r="I229" s="41">
        <f>SUM(I215:I228)</f>
        <v>190785.86</v>
      </c>
      <c r="J229" s="41">
        <f>SUM(J215:J228)</f>
        <v>137515.87</v>
      </c>
      <c r="K229" s="41">
        <f t="shared" si="3"/>
        <v>42350.57</v>
      </c>
      <c r="L229" s="41">
        <f t="shared" si="3"/>
        <v>4514937.84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1481961.7</v>
      </c>
      <c r="G233" s="18">
        <v>678458.6</v>
      </c>
      <c r="H233" s="18">
        <v>26307.01</v>
      </c>
      <c r="I233" s="18">
        <v>85263.66</v>
      </c>
      <c r="J233" s="18">
        <v>11515.96</v>
      </c>
      <c r="K233" s="18">
        <v>4540.5</v>
      </c>
      <c r="L233" s="19">
        <f>SUM(F233:K233)</f>
        <v>2288047.4299999997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502933.4</v>
      </c>
      <c r="G234" s="18">
        <v>274077.25</v>
      </c>
      <c r="H234" s="18">
        <v>268797.19</v>
      </c>
      <c r="I234" s="18">
        <v>6992.33</v>
      </c>
      <c r="J234" s="18">
        <v>0</v>
      </c>
      <c r="K234" s="18">
        <v>0</v>
      </c>
      <c r="L234" s="19">
        <f>SUM(F234:K234)</f>
        <v>1052800.1700000002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24640.93</v>
      </c>
      <c r="I235" s="18">
        <v>0</v>
      </c>
      <c r="J235" s="18">
        <v>0</v>
      </c>
      <c r="K235" s="18">
        <v>0</v>
      </c>
      <c r="L235" s="19">
        <f>SUM(F235:K235)</f>
        <v>24640.93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171346.91</v>
      </c>
      <c r="G236" s="18">
        <v>46748.639999999999</v>
      </c>
      <c r="H236" s="18">
        <v>12785.33</v>
      </c>
      <c r="I236" s="18">
        <v>12167.31</v>
      </c>
      <c r="J236" s="18">
        <v>13810.51</v>
      </c>
      <c r="K236" s="18">
        <v>49528.69</v>
      </c>
      <c r="L236" s="19">
        <f>SUM(F236:K236)</f>
        <v>306387.39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267487.01</v>
      </c>
      <c r="G238" s="18">
        <v>111961.64</v>
      </c>
      <c r="H238" s="18">
        <v>88538.95</v>
      </c>
      <c r="I238" s="18">
        <v>7955.9</v>
      </c>
      <c r="J238" s="18">
        <v>411.75</v>
      </c>
      <c r="K238" s="18">
        <v>0</v>
      </c>
      <c r="L238" s="19">
        <f t="shared" ref="L238:L244" si="4">SUM(F238:K238)</f>
        <v>476355.25000000006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100771.98</v>
      </c>
      <c r="G239" s="18">
        <v>66518.62</v>
      </c>
      <c r="H239" s="18">
        <v>27333.71</v>
      </c>
      <c r="I239" s="18">
        <v>29525.85</v>
      </c>
      <c r="J239" s="18">
        <v>115913.77</v>
      </c>
      <c r="K239" s="18">
        <v>45178.45</v>
      </c>
      <c r="L239" s="19">
        <f t="shared" si="4"/>
        <v>385242.38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191796.85</v>
      </c>
      <c r="G240" s="18">
        <v>92526.61</v>
      </c>
      <c r="H240" s="18">
        <v>32424.07</v>
      </c>
      <c r="I240" s="18">
        <v>7473.25</v>
      </c>
      <c r="J240" s="18">
        <v>515.53</v>
      </c>
      <c r="K240" s="18">
        <v>5986.97</v>
      </c>
      <c r="L240" s="19">
        <f t="shared" si="4"/>
        <v>330723.28000000003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229873.94</v>
      </c>
      <c r="G241" s="18">
        <v>101403.85</v>
      </c>
      <c r="H241" s="18">
        <v>10742.94</v>
      </c>
      <c r="I241" s="18">
        <v>3316.25</v>
      </c>
      <c r="J241" s="18">
        <v>0</v>
      </c>
      <c r="K241" s="18">
        <v>11289.8</v>
      </c>
      <c r="L241" s="19">
        <f t="shared" si="4"/>
        <v>356626.78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176047.94</v>
      </c>
      <c r="G243" s="18">
        <v>69584.490000000005</v>
      </c>
      <c r="H243" s="18">
        <v>210282.2</v>
      </c>
      <c r="I243" s="18">
        <v>156210.45000000001</v>
      </c>
      <c r="J243" s="18">
        <v>42025.599999999999</v>
      </c>
      <c r="K243" s="18">
        <v>0</v>
      </c>
      <c r="L243" s="19">
        <f t="shared" si="4"/>
        <v>654150.68000000005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502154.73</v>
      </c>
      <c r="I244" s="18">
        <v>51468.94</v>
      </c>
      <c r="J244" s="18">
        <v>0</v>
      </c>
      <c r="K244" s="18">
        <v>0</v>
      </c>
      <c r="L244" s="19">
        <f t="shared" si="4"/>
        <v>553623.66999999993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3122219.7300000004</v>
      </c>
      <c r="G247" s="41">
        <f t="shared" si="5"/>
        <v>1441279.7000000002</v>
      </c>
      <c r="H247" s="41">
        <f t="shared" si="5"/>
        <v>1204007.06</v>
      </c>
      <c r="I247" s="41">
        <f t="shared" si="5"/>
        <v>360373.94</v>
      </c>
      <c r="J247" s="41">
        <f t="shared" si="5"/>
        <v>184193.12</v>
      </c>
      <c r="K247" s="41">
        <f t="shared" si="5"/>
        <v>116524.41</v>
      </c>
      <c r="L247" s="41">
        <f t="shared" si="5"/>
        <v>6428597.96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10031206.220000001</v>
      </c>
      <c r="G257" s="41">
        <f t="shared" si="8"/>
        <v>4762992.4600000009</v>
      </c>
      <c r="H257" s="41">
        <f t="shared" si="8"/>
        <v>2846290.96</v>
      </c>
      <c r="I257" s="41">
        <f t="shared" si="8"/>
        <v>989511.86999999988</v>
      </c>
      <c r="J257" s="41">
        <f t="shared" si="8"/>
        <v>475074.45999999996</v>
      </c>
      <c r="K257" s="41">
        <f t="shared" si="8"/>
        <v>226778.03</v>
      </c>
      <c r="L257" s="41">
        <f t="shared" si="8"/>
        <v>19331854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177138.53</v>
      </c>
      <c r="L260" s="19">
        <f>SUM(F260:K260)</f>
        <v>177138.53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115308.34</v>
      </c>
      <c r="L261" s="19">
        <f>SUM(F261:K261)</f>
        <v>115308.34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25000+78696.88</f>
        <v>103696.88</v>
      </c>
      <c r="L263" s="19">
        <f>SUM(F263:K263)</f>
        <v>103696.88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456143.75</v>
      </c>
      <c r="L270" s="41">
        <f t="shared" si="9"/>
        <v>456143.75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10031206.220000001</v>
      </c>
      <c r="G271" s="42">
        <f t="shared" si="11"/>
        <v>4762992.4600000009</v>
      </c>
      <c r="H271" s="42">
        <f t="shared" si="11"/>
        <v>2846290.96</v>
      </c>
      <c r="I271" s="42">
        <f t="shared" si="11"/>
        <v>989511.86999999988</v>
      </c>
      <c r="J271" s="42">
        <f t="shared" si="11"/>
        <v>475074.45999999996</v>
      </c>
      <c r="K271" s="42">
        <f t="shared" si="11"/>
        <v>682921.78</v>
      </c>
      <c r="L271" s="42">
        <f t="shared" si="11"/>
        <v>19787997.75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276">
        <v>245483.89</v>
      </c>
      <c r="G276" s="276">
        <v>85905.58</v>
      </c>
      <c r="H276" s="276">
        <v>0</v>
      </c>
      <c r="I276" s="276">
        <v>5228.72</v>
      </c>
      <c r="J276" s="276">
        <v>2433.3599999999997</v>
      </c>
      <c r="K276" s="276">
        <v>0</v>
      </c>
      <c r="L276" s="19">
        <f>SUM(F276:K276)</f>
        <v>339051.55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276">
        <v>58664</v>
      </c>
      <c r="G277" s="276">
        <v>670</v>
      </c>
      <c r="H277" s="276">
        <v>0</v>
      </c>
      <c r="I277" s="276">
        <v>0</v>
      </c>
      <c r="J277" s="276">
        <v>0</v>
      </c>
      <c r="K277" s="276">
        <v>0</v>
      </c>
      <c r="L277" s="19">
        <f>SUM(F277:K277)</f>
        <v>59334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276">
        <v>0</v>
      </c>
      <c r="G278" s="276">
        <v>0</v>
      </c>
      <c r="H278" s="276">
        <v>0</v>
      </c>
      <c r="I278" s="276">
        <v>0</v>
      </c>
      <c r="J278" s="276">
        <v>0</v>
      </c>
      <c r="K278" s="276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276">
        <v>158097.39000000001</v>
      </c>
      <c r="G279" s="276">
        <v>9351.7000000000007</v>
      </c>
      <c r="H279" s="276">
        <v>4359.71</v>
      </c>
      <c r="I279" s="276">
        <v>12995.65</v>
      </c>
      <c r="J279" s="276">
        <v>1236</v>
      </c>
      <c r="K279" s="276">
        <v>1475.5</v>
      </c>
      <c r="L279" s="19">
        <f>SUM(F279:K279)</f>
        <v>187515.95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277">
        <v>68000</v>
      </c>
      <c r="G281" s="277">
        <v>5201</v>
      </c>
      <c r="H281" s="277">
        <v>68597</v>
      </c>
      <c r="I281" s="277">
        <v>0</v>
      </c>
      <c r="J281" s="277">
        <v>0</v>
      </c>
      <c r="K281" s="277">
        <v>0</v>
      </c>
      <c r="L281" s="19">
        <f t="shared" ref="L281:L287" si="12">SUM(F281:K281)</f>
        <v>141798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277">
        <v>2680</v>
      </c>
      <c r="G282" s="277">
        <v>420.29999999999995</v>
      </c>
      <c r="H282" s="277">
        <v>35188.28</v>
      </c>
      <c r="I282" s="277">
        <v>3418</v>
      </c>
      <c r="J282" s="277">
        <v>37456</v>
      </c>
      <c r="K282" s="277">
        <v>0</v>
      </c>
      <c r="L282" s="19">
        <f t="shared" si="12"/>
        <v>79162.58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277">
        <v>6166</v>
      </c>
      <c r="G283" s="277">
        <v>0</v>
      </c>
      <c r="H283" s="277">
        <v>1853.32</v>
      </c>
      <c r="I283" s="277">
        <v>0</v>
      </c>
      <c r="J283" s="277">
        <v>0</v>
      </c>
      <c r="K283" s="277">
        <v>0</v>
      </c>
      <c r="L283" s="19">
        <f t="shared" si="12"/>
        <v>8019.32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277">
        <v>0</v>
      </c>
      <c r="G284" s="277">
        <v>0</v>
      </c>
      <c r="H284" s="277">
        <v>0</v>
      </c>
      <c r="I284" s="277">
        <v>0</v>
      </c>
      <c r="J284" s="277">
        <v>0</v>
      </c>
      <c r="K284" s="277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277">
        <v>0</v>
      </c>
      <c r="G285" s="277">
        <v>0</v>
      </c>
      <c r="H285" s="277">
        <v>0</v>
      </c>
      <c r="I285" s="277">
        <v>0</v>
      </c>
      <c r="J285" s="277">
        <v>0</v>
      </c>
      <c r="K285" s="277">
        <v>0</v>
      </c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277">
        <v>0</v>
      </c>
      <c r="G286" s="277">
        <v>0</v>
      </c>
      <c r="H286" s="277">
        <v>0</v>
      </c>
      <c r="I286" s="277">
        <v>0</v>
      </c>
      <c r="J286" s="277">
        <v>0</v>
      </c>
      <c r="K286" s="277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277">
        <v>0</v>
      </c>
      <c r="G287" s="277">
        <v>0</v>
      </c>
      <c r="H287" s="277">
        <v>16695.669999999998</v>
      </c>
      <c r="I287" s="277">
        <v>0</v>
      </c>
      <c r="J287" s="277">
        <v>0</v>
      </c>
      <c r="K287" s="277">
        <v>0</v>
      </c>
      <c r="L287" s="19">
        <f t="shared" si="12"/>
        <v>16695.669999999998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277">
        <v>0</v>
      </c>
      <c r="G288" s="277">
        <v>0</v>
      </c>
      <c r="H288" s="277">
        <v>0</v>
      </c>
      <c r="I288" s="277">
        <v>0</v>
      </c>
      <c r="J288" s="277">
        <v>0</v>
      </c>
      <c r="K288" s="277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539091.28</v>
      </c>
      <c r="G290" s="42">
        <f t="shared" si="13"/>
        <v>101548.58</v>
      </c>
      <c r="H290" s="42">
        <f t="shared" si="13"/>
        <v>126693.98000000001</v>
      </c>
      <c r="I290" s="42">
        <f t="shared" si="13"/>
        <v>21642.37</v>
      </c>
      <c r="J290" s="42">
        <f t="shared" si="13"/>
        <v>41125.360000000001</v>
      </c>
      <c r="K290" s="42">
        <f t="shared" si="13"/>
        <v>1475.5</v>
      </c>
      <c r="L290" s="41">
        <f t="shared" si="13"/>
        <v>831577.07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274">
        <v>0</v>
      </c>
      <c r="G295" s="274">
        <v>0</v>
      </c>
      <c r="H295" s="274">
        <v>0</v>
      </c>
      <c r="I295" s="274">
        <v>0</v>
      </c>
      <c r="J295" s="274">
        <v>0</v>
      </c>
      <c r="K295" s="274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274">
        <v>64514</v>
      </c>
      <c r="G296" s="274">
        <v>293</v>
      </c>
      <c r="H296" s="274">
        <v>533</v>
      </c>
      <c r="I296" s="274">
        <v>1171</v>
      </c>
      <c r="J296" s="274">
        <v>0</v>
      </c>
      <c r="K296" s="274">
        <v>0</v>
      </c>
      <c r="L296" s="19">
        <f>SUM(F296:K296)</f>
        <v>66511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274">
        <v>0</v>
      </c>
      <c r="G297" s="274">
        <v>0</v>
      </c>
      <c r="H297" s="274">
        <v>0</v>
      </c>
      <c r="I297" s="274">
        <v>0</v>
      </c>
      <c r="J297" s="274">
        <v>0</v>
      </c>
      <c r="K297" s="274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274">
        <v>46671</v>
      </c>
      <c r="G298" s="274">
        <v>0</v>
      </c>
      <c r="H298" s="274">
        <v>12735</v>
      </c>
      <c r="I298" s="274">
        <v>4316</v>
      </c>
      <c r="J298" s="274">
        <v>549</v>
      </c>
      <c r="K298" s="274">
        <v>150</v>
      </c>
      <c r="L298" s="19">
        <f>SUM(F298:K298)</f>
        <v>64421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275">
        <v>0</v>
      </c>
      <c r="G300" s="275">
        <v>0</v>
      </c>
      <c r="H300" s="275">
        <v>6480</v>
      </c>
      <c r="I300" s="275">
        <v>0</v>
      </c>
      <c r="J300" s="275">
        <v>0</v>
      </c>
      <c r="K300" s="275">
        <v>0</v>
      </c>
      <c r="L300" s="19">
        <f t="shared" ref="L300:L306" si="14">SUM(F300:K300)</f>
        <v>6480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275">
        <v>630</v>
      </c>
      <c r="G301" s="275">
        <v>124.63999999999999</v>
      </c>
      <c r="H301" s="275">
        <v>8207</v>
      </c>
      <c r="I301" s="275">
        <v>1495</v>
      </c>
      <c r="J301" s="275">
        <v>0</v>
      </c>
      <c r="K301" s="275">
        <v>0</v>
      </c>
      <c r="L301" s="19">
        <f t="shared" si="14"/>
        <v>10456.64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275">
        <v>2000</v>
      </c>
      <c r="G302" s="275">
        <v>0</v>
      </c>
      <c r="H302" s="275">
        <v>637</v>
      </c>
      <c r="I302" s="275">
        <v>0</v>
      </c>
      <c r="J302" s="275">
        <v>0</v>
      </c>
      <c r="K302" s="275">
        <v>0</v>
      </c>
      <c r="L302" s="19">
        <f t="shared" si="14"/>
        <v>2637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275">
        <v>0</v>
      </c>
      <c r="G303" s="275">
        <v>0</v>
      </c>
      <c r="H303" s="275">
        <v>0</v>
      </c>
      <c r="I303" s="275">
        <v>0</v>
      </c>
      <c r="J303" s="275">
        <v>0</v>
      </c>
      <c r="K303" s="275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275">
        <v>0</v>
      </c>
      <c r="G304" s="275">
        <v>0</v>
      </c>
      <c r="H304" s="275">
        <v>0</v>
      </c>
      <c r="I304" s="275">
        <v>0</v>
      </c>
      <c r="J304" s="275">
        <v>0</v>
      </c>
      <c r="K304" s="275">
        <v>0</v>
      </c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275">
        <v>0</v>
      </c>
      <c r="G305" s="275">
        <v>0</v>
      </c>
      <c r="H305" s="275">
        <v>0</v>
      </c>
      <c r="I305" s="275">
        <v>0</v>
      </c>
      <c r="J305" s="275">
        <v>0</v>
      </c>
      <c r="K305" s="275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275">
        <v>0</v>
      </c>
      <c r="G306" s="275">
        <v>0</v>
      </c>
      <c r="H306" s="275">
        <v>981</v>
      </c>
      <c r="I306" s="275">
        <v>0</v>
      </c>
      <c r="J306" s="275">
        <v>0</v>
      </c>
      <c r="K306" s="275">
        <v>0</v>
      </c>
      <c r="L306" s="19">
        <f t="shared" si="14"/>
        <v>981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275">
        <v>0</v>
      </c>
      <c r="G307" s="275">
        <v>0</v>
      </c>
      <c r="H307" s="275">
        <v>0</v>
      </c>
      <c r="I307" s="275">
        <v>0</v>
      </c>
      <c r="J307" s="275">
        <v>0</v>
      </c>
      <c r="K307" s="275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113815</v>
      </c>
      <c r="G309" s="42">
        <f t="shared" si="15"/>
        <v>417.64</v>
      </c>
      <c r="H309" s="42">
        <f t="shared" si="15"/>
        <v>29573</v>
      </c>
      <c r="I309" s="42">
        <f t="shared" si="15"/>
        <v>6982</v>
      </c>
      <c r="J309" s="42">
        <f t="shared" si="15"/>
        <v>549</v>
      </c>
      <c r="K309" s="42">
        <f t="shared" si="15"/>
        <v>150</v>
      </c>
      <c r="L309" s="41">
        <f t="shared" si="15"/>
        <v>151486.64000000001</v>
      </c>
      <c r="N309" s="268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273">
        <v>15036</v>
      </c>
      <c r="G314" s="273">
        <v>1855</v>
      </c>
      <c r="H314" s="273">
        <v>1260</v>
      </c>
      <c r="I314" s="273">
        <v>22634</v>
      </c>
      <c r="J314" s="273">
        <v>0</v>
      </c>
      <c r="K314" s="273">
        <v>0</v>
      </c>
      <c r="L314" s="19">
        <f>SUM(F314:K314)</f>
        <v>40785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273">
        <v>24734</v>
      </c>
      <c r="G315" s="273">
        <v>432</v>
      </c>
      <c r="H315" s="273">
        <v>0</v>
      </c>
      <c r="I315" s="273">
        <v>0</v>
      </c>
      <c r="J315" s="273">
        <v>0</v>
      </c>
      <c r="K315" s="273">
        <v>0</v>
      </c>
      <c r="L315" s="19">
        <f>SUM(F315:K315)</f>
        <v>25166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273">
        <v>0</v>
      </c>
      <c r="G316" s="273">
        <v>0</v>
      </c>
      <c r="H316" s="273">
        <v>0</v>
      </c>
      <c r="I316" s="273">
        <v>0</v>
      </c>
      <c r="J316" s="273">
        <v>0</v>
      </c>
      <c r="K316" s="273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273">
        <v>42782</v>
      </c>
      <c r="G317" s="273">
        <v>493</v>
      </c>
      <c r="H317" s="273">
        <v>674</v>
      </c>
      <c r="I317" s="273">
        <v>4040</v>
      </c>
      <c r="J317" s="273">
        <v>1153</v>
      </c>
      <c r="K317" s="273">
        <v>3875</v>
      </c>
      <c r="L317" s="19">
        <f>SUM(F317:K317)</f>
        <v>53017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272">
        <v>15300</v>
      </c>
      <c r="G319" s="272">
        <v>1170</v>
      </c>
      <c r="H319" s="272">
        <v>0</v>
      </c>
      <c r="I319" s="272">
        <v>0</v>
      </c>
      <c r="J319" s="272">
        <v>0</v>
      </c>
      <c r="K319" s="272">
        <v>0</v>
      </c>
      <c r="L319" s="19">
        <f t="shared" ref="L319:L325" si="16">SUM(F319:K319)</f>
        <v>16470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272">
        <v>8638</v>
      </c>
      <c r="G320" s="272">
        <v>1720.5</v>
      </c>
      <c r="H320" s="272">
        <v>21013</v>
      </c>
      <c r="I320" s="272">
        <v>2207</v>
      </c>
      <c r="J320" s="272">
        <v>0</v>
      </c>
      <c r="K320" s="272">
        <v>0</v>
      </c>
      <c r="L320" s="19">
        <f t="shared" si="16"/>
        <v>33578.5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272">
        <v>1833</v>
      </c>
      <c r="G321" s="272">
        <v>0</v>
      </c>
      <c r="H321" s="272">
        <v>583</v>
      </c>
      <c r="I321" s="272">
        <v>0</v>
      </c>
      <c r="J321" s="272">
        <v>0</v>
      </c>
      <c r="K321" s="272">
        <v>0</v>
      </c>
      <c r="L321" s="19">
        <f t="shared" si="16"/>
        <v>2416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272">
        <v>0</v>
      </c>
      <c r="G322" s="272">
        <v>0</v>
      </c>
      <c r="H322" s="272">
        <v>0</v>
      </c>
      <c r="I322" s="272">
        <v>0</v>
      </c>
      <c r="J322" s="272">
        <v>0</v>
      </c>
      <c r="K322" s="272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272">
        <v>0</v>
      </c>
      <c r="G323" s="272">
        <v>0</v>
      </c>
      <c r="H323" s="272">
        <v>0</v>
      </c>
      <c r="I323" s="272">
        <v>0</v>
      </c>
      <c r="J323" s="272">
        <v>0</v>
      </c>
      <c r="K323" s="272">
        <v>0</v>
      </c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272">
        <v>0</v>
      </c>
      <c r="G324" s="272">
        <v>0</v>
      </c>
      <c r="H324" s="272">
        <v>0</v>
      </c>
      <c r="I324" s="272">
        <v>0</v>
      </c>
      <c r="J324" s="272">
        <v>0</v>
      </c>
      <c r="K324" s="272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272">
        <v>0</v>
      </c>
      <c r="G325" s="272">
        <v>0</v>
      </c>
      <c r="H325" s="272">
        <v>1419</v>
      </c>
      <c r="I325" s="272">
        <v>0</v>
      </c>
      <c r="J325" s="272">
        <v>0</v>
      </c>
      <c r="K325" s="272">
        <v>0</v>
      </c>
      <c r="L325" s="19">
        <f t="shared" si="16"/>
        <v>1419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272">
        <v>0</v>
      </c>
      <c r="G326" s="272">
        <v>0</v>
      </c>
      <c r="H326" s="272">
        <v>0</v>
      </c>
      <c r="I326" s="272">
        <v>0</v>
      </c>
      <c r="J326" s="272">
        <v>0</v>
      </c>
      <c r="K326" s="272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108323</v>
      </c>
      <c r="G328" s="42">
        <f t="shared" si="17"/>
        <v>5670.5</v>
      </c>
      <c r="H328" s="42">
        <f t="shared" si="17"/>
        <v>24949</v>
      </c>
      <c r="I328" s="42">
        <f t="shared" si="17"/>
        <v>28881</v>
      </c>
      <c r="J328" s="42">
        <f t="shared" si="17"/>
        <v>1153</v>
      </c>
      <c r="K328" s="42">
        <f t="shared" si="17"/>
        <v>3875</v>
      </c>
      <c r="L328" s="41">
        <f t="shared" si="17"/>
        <v>172851.5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761229.28</v>
      </c>
      <c r="G338" s="41">
        <f t="shared" si="20"/>
        <v>107636.72</v>
      </c>
      <c r="H338" s="41">
        <f t="shared" si="20"/>
        <v>181215.98</v>
      </c>
      <c r="I338" s="41">
        <f t="shared" si="20"/>
        <v>57505.369999999995</v>
      </c>
      <c r="J338" s="41">
        <f t="shared" si="20"/>
        <v>42827.360000000001</v>
      </c>
      <c r="K338" s="41">
        <f t="shared" si="20"/>
        <v>5500.5</v>
      </c>
      <c r="L338" s="41">
        <f t="shared" si="20"/>
        <v>1155915.21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761229.28</v>
      </c>
      <c r="G352" s="41">
        <f>G338</f>
        <v>107636.72</v>
      </c>
      <c r="H352" s="41">
        <f>H338</f>
        <v>181215.98</v>
      </c>
      <c r="I352" s="41">
        <f>I338</f>
        <v>57505.369999999995</v>
      </c>
      <c r="J352" s="41">
        <f>J338</f>
        <v>42827.360000000001</v>
      </c>
      <c r="K352" s="47">
        <f>K338+K351</f>
        <v>5500.5</v>
      </c>
      <c r="L352" s="41">
        <f>L338+L351</f>
        <v>1155915.21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92835.47</v>
      </c>
      <c r="G358" s="18">
        <v>22793.63</v>
      </c>
      <c r="H358" s="18">
        <f>2285.03+118.84</f>
        <v>2403.8700000000003</v>
      </c>
      <c r="I358" s="18">
        <v>59300.73</v>
      </c>
      <c r="J358" s="18">
        <v>420.14</v>
      </c>
      <c r="K358" s="18">
        <v>160</v>
      </c>
      <c r="L358" s="13">
        <f>SUM(F358:K358)</f>
        <v>177913.84000000003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49356.92</v>
      </c>
      <c r="G359" s="18">
        <v>7605.21</v>
      </c>
      <c r="H359" s="18">
        <f>1122.31+52.58</f>
        <v>1174.8899999999999</v>
      </c>
      <c r="I359" s="18">
        <v>60847.01</v>
      </c>
      <c r="J359" s="18">
        <v>107.29</v>
      </c>
      <c r="K359" s="18">
        <v>150</v>
      </c>
      <c r="L359" s="19">
        <f>SUM(F359:K359)</f>
        <v>119241.31999999999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118729.93</v>
      </c>
      <c r="G360" s="18">
        <v>48411.95</v>
      </c>
      <c r="H360" s="18">
        <f>75+2344.63+70.83</f>
        <v>2490.46</v>
      </c>
      <c r="I360" s="18">
        <v>144823.94</v>
      </c>
      <c r="J360" s="18">
        <v>1290.23</v>
      </c>
      <c r="K360" s="18">
        <v>494</v>
      </c>
      <c r="L360" s="19">
        <f>SUM(F360:K360)</f>
        <v>316240.51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260922.32</v>
      </c>
      <c r="G362" s="47">
        <f t="shared" si="22"/>
        <v>78810.789999999994</v>
      </c>
      <c r="H362" s="47">
        <f t="shared" si="22"/>
        <v>6069.22</v>
      </c>
      <c r="I362" s="47">
        <f t="shared" si="22"/>
        <v>264971.68</v>
      </c>
      <c r="J362" s="47">
        <f t="shared" si="22"/>
        <v>1817.6599999999999</v>
      </c>
      <c r="K362" s="47">
        <f t="shared" si="22"/>
        <v>804</v>
      </c>
      <c r="L362" s="47">
        <f t="shared" si="22"/>
        <v>613395.67000000004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59221.26</v>
      </c>
      <c r="G367" s="18">
        <v>60808.44</v>
      </c>
      <c r="H367" s="18">
        <v>144823.94</v>
      </c>
      <c r="I367" s="56">
        <f>SUM(F367:H367)</f>
        <v>264853.64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79.47</v>
      </c>
      <c r="G368" s="63">
        <v>38.57</v>
      </c>
      <c r="H368" s="63">
        <v>0</v>
      </c>
      <c r="I368" s="56">
        <f>SUM(F368:H368)</f>
        <v>118.03999999999999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59300.73</v>
      </c>
      <c r="G369" s="47">
        <f>SUM(G367:G368)</f>
        <v>60847.01</v>
      </c>
      <c r="H369" s="47">
        <f>SUM(H367:H368)</f>
        <v>144823.94</v>
      </c>
      <c r="I369" s="47">
        <f>SUM(I367:I368)</f>
        <v>264971.68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280">
        <v>0</v>
      </c>
      <c r="H387" s="280">
        <v>0</v>
      </c>
      <c r="I387" s="280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280">
        <v>0</v>
      </c>
      <c r="G388" s="280">
        <v>0</v>
      </c>
      <c r="H388" s="280">
        <v>0</v>
      </c>
      <c r="I388" s="280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280">
        <v>0</v>
      </c>
      <c r="G389" s="280">
        <v>0</v>
      </c>
      <c r="H389" s="280">
        <v>0</v>
      </c>
      <c r="I389" s="280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280">
        <v>0</v>
      </c>
      <c r="G390" s="280">
        <v>0</v>
      </c>
      <c r="H390" s="280">
        <v>0</v>
      </c>
      <c r="I390" s="280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280">
        <v>0</v>
      </c>
      <c r="G391" s="280">
        <v>0</v>
      </c>
      <c r="H391" s="280">
        <v>0</v>
      </c>
      <c r="I391" s="280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280">
        <v>0</v>
      </c>
      <c r="G392" s="280">
        <v>0</v>
      </c>
      <c r="H392" s="280">
        <v>0</v>
      </c>
      <c r="I392" s="280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280">
        <v>0</v>
      </c>
      <c r="H395" s="280">
        <v>0</v>
      </c>
      <c r="I395" s="280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280">
        <v>0</v>
      </c>
      <c r="G396" s="280">
        <v>60000</v>
      </c>
      <c r="H396" s="18">
        <v>11.4</v>
      </c>
      <c r="I396" s="280">
        <v>0</v>
      </c>
      <c r="J396" s="24" t="s">
        <v>289</v>
      </c>
      <c r="K396" s="24" t="s">
        <v>289</v>
      </c>
      <c r="L396" s="56">
        <f t="shared" si="26"/>
        <v>60011.4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280">
        <v>0</v>
      </c>
      <c r="G397" s="280">
        <v>0</v>
      </c>
      <c r="H397" s="280">
        <v>0</v>
      </c>
      <c r="I397" s="280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280">
        <v>0</v>
      </c>
      <c r="G398" s="280">
        <v>0</v>
      </c>
      <c r="H398" s="280">
        <v>0</v>
      </c>
      <c r="I398" s="280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280">
        <v>0</v>
      </c>
      <c r="G399" s="280">
        <v>0</v>
      </c>
      <c r="H399" s="280">
        <v>0</v>
      </c>
      <c r="I399" s="280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280">
        <v>0</v>
      </c>
      <c r="G400" s="280">
        <v>0</v>
      </c>
      <c r="H400" s="18">
        <v>13.58</v>
      </c>
      <c r="I400" s="280">
        <v>0</v>
      </c>
      <c r="J400" s="24" t="s">
        <v>289</v>
      </c>
      <c r="K400" s="24" t="s">
        <v>289</v>
      </c>
      <c r="L400" s="56">
        <f t="shared" si="26"/>
        <v>13.58</v>
      </c>
      <c r="M400" s="8"/>
      <c r="N400" s="270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24.98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60024.98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280">
        <v>0</v>
      </c>
      <c r="H403" s="280">
        <v>0</v>
      </c>
      <c r="I403" s="280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280">
        <v>0</v>
      </c>
      <c r="G404" s="280">
        <v>0</v>
      </c>
      <c r="H404" s="280">
        <v>0</v>
      </c>
      <c r="I404" s="280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280">
        <v>0</v>
      </c>
      <c r="G405" s="280">
        <v>0</v>
      </c>
      <c r="H405" s="280">
        <v>0</v>
      </c>
      <c r="I405" s="280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280">
        <v>0</v>
      </c>
      <c r="G406" s="280">
        <v>0</v>
      </c>
      <c r="H406" s="280">
        <v>0</v>
      </c>
      <c r="I406" s="280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24.98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60024.98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f>6947.42+110000</f>
        <v>116947.42</v>
      </c>
      <c r="L426" s="56">
        <f t="shared" si="29"/>
        <v>116947.42</v>
      </c>
      <c r="M426" s="8"/>
      <c r="N426" s="270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116947.42</v>
      </c>
      <c r="L427" s="47">
        <f t="shared" si="30"/>
        <v>116947.42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5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5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8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116947.42</v>
      </c>
      <c r="L434" s="47">
        <f t="shared" si="32"/>
        <v>116947.42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f>137988.15-2659.77</f>
        <v>135328.38</v>
      </c>
      <c r="H439" s="18">
        <v>0</v>
      </c>
      <c r="I439" s="56">
        <f t="shared" ref="I439:I445" si="33">SUM(F439:H439)</f>
        <v>135328.38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f>117491.85+120071.53+2659.77</f>
        <v>240223.15</v>
      </c>
      <c r="H440" s="18">
        <v>0</v>
      </c>
      <c r="I440" s="56">
        <f t="shared" si="33"/>
        <v>240223.15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375551.53</v>
      </c>
      <c r="H446" s="13">
        <f>SUM(H439:H445)</f>
        <v>0</v>
      </c>
      <c r="I446" s="13">
        <f>SUM(I439:I445)</f>
        <v>375551.53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f>110000</f>
        <v>110000</v>
      </c>
      <c r="H450" s="18">
        <v>0</v>
      </c>
      <c r="I450" s="56">
        <f>SUM(F450:H450)</f>
        <v>110000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110000</v>
      </c>
      <c r="H452" s="72">
        <f>SUM(H448:H451)</f>
        <v>0</v>
      </c>
      <c r="I452" s="72">
        <f>SUM(I448:I451)</f>
        <v>110000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117491.85</v>
      </c>
      <c r="H457" s="18">
        <v>0</v>
      </c>
      <c r="I457" s="56">
        <f t="shared" si="34"/>
        <v>117491.85</v>
      </c>
      <c r="J457" s="24" t="s">
        <v>289</v>
      </c>
      <c r="K457" s="24" t="s">
        <v>289</v>
      </c>
      <c r="L457" s="24" t="s">
        <v>289</v>
      </c>
      <c r="M457" s="68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f>120071.53+137988.15-110000</f>
        <v>148059.68</v>
      </c>
      <c r="H459" s="18">
        <v>0</v>
      </c>
      <c r="I459" s="56">
        <f t="shared" si="34"/>
        <v>148059.68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265551.53000000003</v>
      </c>
      <c r="H460" s="83">
        <f>SUM(H454:H459)</f>
        <v>0</v>
      </c>
      <c r="I460" s="83">
        <f>SUM(I454:I459)</f>
        <v>265551.53000000003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6" t="s">
        <v>433</v>
      </c>
      <c r="E461" s="82"/>
      <c r="F461" s="42">
        <f>F452+F460</f>
        <v>0</v>
      </c>
      <c r="G461" s="42">
        <f>G452+G460</f>
        <v>375551.53</v>
      </c>
      <c r="H461" s="42">
        <f>H452+H460</f>
        <v>0</v>
      </c>
      <c r="I461" s="42">
        <f>I452+I460</f>
        <v>375551.53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9"/>
    </row>
    <row r="465" spans="1:14" s="52" customFormat="1" ht="12" customHeight="1" x14ac:dyDescent="0.2">
      <c r="A465" s="187" t="s">
        <v>904</v>
      </c>
      <c r="B465" s="105">
        <v>19</v>
      </c>
      <c r="C465" s="111">
        <v>1</v>
      </c>
      <c r="D465" s="2" t="s">
        <v>433</v>
      </c>
      <c r="E465" s="111"/>
      <c r="F465" s="18">
        <v>2048284.15</v>
      </c>
      <c r="G465" s="18">
        <v>25037.07</v>
      </c>
      <c r="H465" s="18">
        <v>0</v>
      </c>
      <c r="I465" s="18">
        <v>0</v>
      </c>
      <c r="J465" s="18">
        <f>382563.97</f>
        <v>382563.97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19507809.15+110000</f>
        <v>19617809.149999999</v>
      </c>
      <c r="G468" s="18">
        <f>539640.29+78696.88</f>
        <v>618337.17000000004</v>
      </c>
      <c r="H468" s="18">
        <f>1024113.69+131801.52</f>
        <v>1155915.21</v>
      </c>
      <c r="I468" s="280">
        <v>0</v>
      </c>
      <c r="J468" s="18">
        <v>60024.98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280">
        <v>0</v>
      </c>
      <c r="G469" s="18">
        <v>0</v>
      </c>
      <c r="H469" s="280">
        <v>0</v>
      </c>
      <c r="I469" s="280">
        <v>0</v>
      </c>
      <c r="J469" s="280">
        <v>0</v>
      </c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SUM(F468:F468)</f>
        <v>19617809.149999999</v>
      </c>
      <c r="G470" s="53">
        <f>SUM(G468:G469)</f>
        <v>618337.17000000004</v>
      </c>
      <c r="H470" s="53">
        <f>SUM(H468:H469)</f>
        <v>1155915.21</v>
      </c>
      <c r="I470" s="53">
        <f>SUM(I468:I469)</f>
        <v>0</v>
      </c>
      <c r="J470" s="53">
        <f>SUM(J468:J469)</f>
        <v>60024.98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19770638.81-121337.94+78696.88+60000</f>
        <v>19787997.749999996</v>
      </c>
      <c r="G472" s="18">
        <v>613395.67000000004</v>
      </c>
      <c r="H472" s="18">
        <v>1155915.21</v>
      </c>
      <c r="I472" s="280">
        <v>0</v>
      </c>
      <c r="J472" s="18">
        <f>6947.42+110000</f>
        <v>116947.42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121337.94+26245.66</f>
        <v>147583.6</v>
      </c>
      <c r="G473" s="280">
        <v>4941.4799999999996</v>
      </c>
      <c r="H473" s="280">
        <v>0</v>
      </c>
      <c r="I473" s="280">
        <v>0</v>
      </c>
      <c r="J473" s="18">
        <f>90+60000</f>
        <v>60090</v>
      </c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19935581.349999998</v>
      </c>
      <c r="G474" s="53">
        <f>SUM(G472:G473)</f>
        <v>618337.15</v>
      </c>
      <c r="H474" s="53">
        <f>SUM(H472:H473)</f>
        <v>1155915.21</v>
      </c>
      <c r="I474" s="53">
        <f>SUM(I472:I473)</f>
        <v>0</v>
      </c>
      <c r="J474" s="53">
        <f>SUM(J472:J473)</f>
        <v>177037.41999999998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1730511.9499999993</v>
      </c>
      <c r="G476" s="53">
        <f>(G465+G470)- G474</f>
        <v>25037.089999999967</v>
      </c>
      <c r="H476" s="53">
        <f>(H465+H470)- H474</f>
        <v>0</v>
      </c>
      <c r="I476" s="53">
        <f>(I465+I470)- I474</f>
        <v>0</v>
      </c>
      <c r="J476" s="53">
        <f>(J465+J470)- J474</f>
        <v>265551.52999999997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9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9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9"/>
    </row>
    <row r="480" spans="1:14" s="52" customFormat="1" ht="12" customHeight="1" x14ac:dyDescent="0.2">
      <c r="A480" s="279" t="s">
        <v>917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69"/>
    </row>
    <row r="481" spans="1:14" s="52" customFormat="1" ht="12" customHeight="1" x14ac:dyDescent="0.2">
      <c r="A481" s="173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69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69"/>
    </row>
    <row r="483" spans="1:14" s="52" customFormat="1" ht="12" customHeight="1" x14ac:dyDescent="0.2">
      <c r="A483" s="279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9"/>
    </row>
    <row r="484" spans="1:14" s="52" customFormat="1" ht="12" customHeight="1" x14ac:dyDescent="0.2">
      <c r="A484" s="279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69"/>
    </row>
    <row r="485" spans="1:14" s="52" customFormat="1" ht="12" customHeight="1" x14ac:dyDescent="0.2">
      <c r="A485" s="279" t="s">
        <v>911</v>
      </c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69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9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9"/>
    </row>
    <row r="488" spans="1:14" s="52" customFormat="1" ht="12" customHeight="1" x14ac:dyDescent="0.2">
      <c r="A488" s="146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69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69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81">
        <v>15</v>
      </c>
      <c r="G490" s="153"/>
      <c r="H490" s="153"/>
      <c r="I490" s="153"/>
      <c r="J490" s="153"/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82" t="s">
        <v>912</v>
      </c>
      <c r="G491" s="154"/>
      <c r="H491" s="153"/>
      <c r="I491" s="153"/>
      <c r="J491" s="153"/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82" t="s">
        <v>913</v>
      </c>
      <c r="G492" s="154"/>
      <c r="H492" s="153"/>
      <c r="I492" s="153"/>
      <c r="J492" s="153"/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80">
        <v>2657078</v>
      </c>
      <c r="G493" s="18"/>
      <c r="H493" s="18"/>
      <c r="I493" s="18"/>
      <c r="J493" s="18"/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80">
        <v>5.54</v>
      </c>
      <c r="G494" s="18"/>
      <c r="H494" s="18"/>
      <c r="I494" s="18"/>
      <c r="J494" s="18"/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83">
        <v>2125662.38</v>
      </c>
      <c r="G495" s="18"/>
      <c r="H495" s="18"/>
      <c r="I495" s="18"/>
      <c r="J495" s="18"/>
      <c r="K495" s="53">
        <f>SUM(F495:J495)</f>
        <v>2125662.38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280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280">
        <v>177138.54</v>
      </c>
      <c r="G497" s="18"/>
      <c r="H497" s="18"/>
      <c r="I497" s="18"/>
      <c r="J497" s="18"/>
      <c r="K497" s="53">
        <f t="shared" si="35"/>
        <v>177138.54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83">
        <f>F495-F497</f>
        <v>1948523.8399999999</v>
      </c>
      <c r="G498" s="202"/>
      <c r="H498" s="202"/>
      <c r="I498" s="202"/>
      <c r="J498" s="202"/>
      <c r="K498" s="203">
        <f t="shared" si="35"/>
        <v>1948523.8399999999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69"/>
    </row>
    <row r="500" spans="1:14" s="52" customFormat="1" ht="12" customHeight="1" thickTop="1" x14ac:dyDescent="0.2">
      <c r="A500" s="139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1948523.8399999999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1948523.8399999999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177138.54</v>
      </c>
      <c r="G501" s="202"/>
      <c r="H501" s="202"/>
      <c r="I501" s="202"/>
      <c r="J501" s="202"/>
      <c r="K501" s="203">
        <f t="shared" si="35"/>
        <v>177138.54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105494.85</v>
      </c>
      <c r="G502" s="18"/>
      <c r="H502" s="18"/>
      <c r="I502" s="18"/>
      <c r="J502" s="18"/>
      <c r="K502" s="53">
        <f t="shared" si="35"/>
        <v>105494.85</v>
      </c>
      <c r="L502" s="24" t="s">
        <v>289</v>
      </c>
      <c r="N502" s="269"/>
    </row>
    <row r="503" spans="1:14" s="52" customFormat="1" ht="12" customHeight="1" thickTop="1" x14ac:dyDescent="0.2">
      <c r="A503" s="139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282633.39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282633.39</v>
      </c>
      <c r="L503" s="45" t="s">
        <v>289</v>
      </c>
      <c r="N503" s="269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9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9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6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9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6"/>
      <c r="N518" s="269"/>
    </row>
    <row r="519" spans="1:14" s="52" customFormat="1" ht="12" customHeight="1" x14ac:dyDescent="0.2">
      <c r="A519" s="176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9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824368.26+58664</f>
        <v>883032.26</v>
      </c>
      <c r="G521" s="18">
        <f>430949.5+670</f>
        <v>431619.5</v>
      </c>
      <c r="H521" s="18">
        <f>96840.99</f>
        <v>96840.99</v>
      </c>
      <c r="I521" s="18">
        <v>6009.68</v>
      </c>
      <c r="J521" s="18">
        <v>870.48</v>
      </c>
      <c r="K521" s="18">
        <v>0</v>
      </c>
      <c r="L521" s="88">
        <f>SUM(F521:K521)</f>
        <v>1418372.91</v>
      </c>
      <c r="N521" s="269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454961.6+60684+826</f>
        <v>516471.6</v>
      </c>
      <c r="G522" s="18">
        <f>269821.32+1171</f>
        <v>270992.32</v>
      </c>
      <c r="H522" s="18">
        <v>39618.78</v>
      </c>
      <c r="I522" s="18">
        <v>973.23</v>
      </c>
      <c r="J522" s="18">
        <v>0</v>
      </c>
      <c r="K522" s="18">
        <v>0</v>
      </c>
      <c r="L522" s="88">
        <f>SUM(F522:K522)</f>
        <v>828055.92999999993</v>
      </c>
      <c r="N522" s="269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502933.4+24734</f>
        <v>527667.4</v>
      </c>
      <c r="G523" s="18">
        <f>274077.25+432</f>
        <v>274509.25</v>
      </c>
      <c r="H523" s="18">
        <v>255359.23</v>
      </c>
      <c r="I523" s="18">
        <v>6992.33</v>
      </c>
      <c r="J523" s="18">
        <v>0</v>
      </c>
      <c r="K523" s="18">
        <v>0</v>
      </c>
      <c r="L523" s="88">
        <f>SUM(F523:K523)</f>
        <v>1064528.2100000002</v>
      </c>
      <c r="N523" s="269"/>
    </row>
    <row r="524" spans="1:14" s="52" customFormat="1" ht="12" customHeight="1" thickTop="1" x14ac:dyDescent="0.2">
      <c r="A524" s="139" t="s">
        <v>63</v>
      </c>
      <c r="B524" s="107">
        <v>21</v>
      </c>
      <c r="C524" s="193">
        <v>4</v>
      </c>
      <c r="D524" s="194" t="s">
        <v>433</v>
      </c>
      <c r="E524" s="193"/>
      <c r="F524" s="108">
        <f>SUM(F521:F523)</f>
        <v>1927171.2599999998</v>
      </c>
      <c r="G524" s="108">
        <f t="shared" ref="G524:L524" si="36">SUM(G521:G523)</f>
        <v>977121.07000000007</v>
      </c>
      <c r="H524" s="108">
        <f t="shared" si="36"/>
        <v>391819</v>
      </c>
      <c r="I524" s="108">
        <f t="shared" si="36"/>
        <v>13975.24</v>
      </c>
      <c r="J524" s="108">
        <f t="shared" si="36"/>
        <v>870.48</v>
      </c>
      <c r="K524" s="108">
        <f t="shared" si="36"/>
        <v>0</v>
      </c>
      <c r="L524" s="89">
        <f t="shared" si="36"/>
        <v>3310957.05</v>
      </c>
      <c r="N524" s="269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199492.53+68000</f>
        <v>267492.53000000003</v>
      </c>
      <c r="G526" s="18">
        <f>76961.88+5201</f>
        <v>82162.880000000005</v>
      </c>
      <c r="H526" s="18">
        <f>211295.48+68597</f>
        <v>279892.47999999998</v>
      </c>
      <c r="I526" s="18">
        <v>4875.46</v>
      </c>
      <c r="J526" s="18">
        <v>3452.3</v>
      </c>
      <c r="K526" s="18">
        <v>156</v>
      </c>
      <c r="L526" s="88">
        <f>SUM(F526:K526)</f>
        <v>638031.65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95936.08</v>
      </c>
      <c r="G527" s="18">
        <f>46741.5</f>
        <v>46741.5</v>
      </c>
      <c r="H527" s="18">
        <f>51369.6+6480</f>
        <v>57849.599999999999</v>
      </c>
      <c r="I527" s="18">
        <v>1857.18</v>
      </c>
      <c r="J527" s="18">
        <v>55.5</v>
      </c>
      <c r="K527" s="18">
        <v>13</v>
      </c>
      <c r="L527" s="88">
        <f>SUM(F527:K527)</f>
        <v>202452.86000000002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68223.37</v>
      </c>
      <c r="G528" s="18">
        <v>35768.1</v>
      </c>
      <c r="H528" s="18">
        <v>98125.16</v>
      </c>
      <c r="I528" s="18">
        <v>2686.84</v>
      </c>
      <c r="J528" s="18">
        <v>0</v>
      </c>
      <c r="K528" s="18">
        <v>0</v>
      </c>
      <c r="L528" s="88">
        <f>SUM(F528:K528)</f>
        <v>204803.47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433</v>
      </c>
      <c r="E529" s="107"/>
      <c r="F529" s="89">
        <f>SUM(F526:F528)</f>
        <v>431651.98000000004</v>
      </c>
      <c r="G529" s="89">
        <f t="shared" ref="G529:L529" si="37">SUM(G526:G528)</f>
        <v>164672.48000000001</v>
      </c>
      <c r="H529" s="89">
        <f t="shared" si="37"/>
        <v>435867.24</v>
      </c>
      <c r="I529" s="89">
        <f t="shared" si="37"/>
        <v>9419.48</v>
      </c>
      <c r="J529" s="89">
        <f t="shared" si="37"/>
        <v>3507.8</v>
      </c>
      <c r="K529" s="89">
        <f t="shared" si="37"/>
        <v>169</v>
      </c>
      <c r="L529" s="89">
        <f t="shared" si="37"/>
        <v>1045287.98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61999.92</v>
      </c>
      <c r="G531" s="18">
        <v>35142.6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97142.51999999999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26260.3</v>
      </c>
      <c r="G532" s="18">
        <v>14884.78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41145.08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39838.79</v>
      </c>
      <c r="G533" s="18">
        <v>22581.3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62420.09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433</v>
      </c>
      <c r="E534" s="107"/>
      <c r="F534" s="89">
        <f>SUM(F531:F533)</f>
        <v>128099.01000000001</v>
      </c>
      <c r="G534" s="89">
        <f t="shared" ref="G534:L534" si="38">SUM(G531:G533)</f>
        <v>72608.679999999993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200707.68999999997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93740.23</v>
      </c>
      <c r="I541" s="18">
        <v>0</v>
      </c>
      <c r="J541" s="18">
        <v>0</v>
      </c>
      <c r="K541" s="18">
        <v>0</v>
      </c>
      <c r="L541" s="88">
        <f>SUM(G541:K541)</f>
        <v>93740.23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47266.71</v>
      </c>
      <c r="I542" s="18">
        <v>0</v>
      </c>
      <c r="J542" s="18">
        <v>0</v>
      </c>
      <c r="K542" s="18">
        <v>0</v>
      </c>
      <c r="L542" s="88">
        <f>SUM(G542:K542)</f>
        <v>47266.71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169009.75</v>
      </c>
      <c r="I543" s="18">
        <v>0</v>
      </c>
      <c r="J543" s="18">
        <v>0</v>
      </c>
      <c r="K543" s="18">
        <v>0</v>
      </c>
      <c r="L543" s="88">
        <f>SUM(G543:K543)</f>
        <v>169009.75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SUM(G541:G543)</f>
        <v>0</v>
      </c>
      <c r="G544" s="191" t="e">
        <f>SUM(#REF!)</f>
        <v>#REF!</v>
      </c>
      <c r="H544" s="191">
        <f t="shared" ref="H544:L544" si="40">SUM(H541:H543)</f>
        <v>310016.69</v>
      </c>
      <c r="I544" s="191">
        <f t="shared" si="40"/>
        <v>0</v>
      </c>
      <c r="J544" s="191">
        <f t="shared" si="40"/>
        <v>0</v>
      </c>
      <c r="K544" s="191">
        <f t="shared" si="40"/>
        <v>0</v>
      </c>
      <c r="L544" s="191">
        <f t="shared" si="40"/>
        <v>310016.69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433</v>
      </c>
      <c r="E545" s="107"/>
      <c r="F545" s="89">
        <f>F524+F529+F534+F539+F544</f>
        <v>2486922.25</v>
      </c>
      <c r="G545" s="89" t="e">
        <f t="shared" ref="G545:L545" si="41">G524+G529+G534+G539+G544</f>
        <v>#REF!</v>
      </c>
      <c r="H545" s="89">
        <f t="shared" si="41"/>
        <v>1137702.93</v>
      </c>
      <c r="I545" s="89">
        <f t="shared" si="41"/>
        <v>23394.720000000001</v>
      </c>
      <c r="J545" s="89">
        <f t="shared" si="41"/>
        <v>4378.2800000000007</v>
      </c>
      <c r="K545" s="89">
        <f t="shared" si="41"/>
        <v>169</v>
      </c>
      <c r="L545" s="89">
        <f t="shared" si="41"/>
        <v>4866969.41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1418372.91</v>
      </c>
      <c r="G549" s="87">
        <f>L526</f>
        <v>638031.65</v>
      </c>
      <c r="H549" s="87">
        <f>L531</f>
        <v>97142.51999999999</v>
      </c>
      <c r="I549" s="87">
        <f>L536</f>
        <v>0</v>
      </c>
      <c r="J549" s="87">
        <f>L541</f>
        <v>93740.23</v>
      </c>
      <c r="K549" s="87">
        <f>SUM(F549:J549)</f>
        <v>2247287.31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828055.92999999993</v>
      </c>
      <c r="G550" s="87">
        <f>L527</f>
        <v>202452.86000000002</v>
      </c>
      <c r="H550" s="87">
        <f>L532</f>
        <v>41145.08</v>
      </c>
      <c r="I550" s="87">
        <f>L537</f>
        <v>0</v>
      </c>
      <c r="J550" s="87">
        <f>L542</f>
        <v>47266.71</v>
      </c>
      <c r="K550" s="87">
        <f>SUM(F550:J550)</f>
        <v>1118920.5799999998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1064528.2100000002</v>
      </c>
      <c r="G551" s="87">
        <f>L528</f>
        <v>204803.47</v>
      </c>
      <c r="H551" s="87">
        <f>L533</f>
        <v>62420.09</v>
      </c>
      <c r="I551" s="87">
        <f>L538</f>
        <v>0</v>
      </c>
      <c r="J551" s="87">
        <f>L543</f>
        <v>169009.75</v>
      </c>
      <c r="K551" s="87">
        <f>SUM(F551:J551)</f>
        <v>1500761.5200000003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3310957.05</v>
      </c>
      <c r="G552" s="89">
        <f t="shared" si="42"/>
        <v>1045287.98</v>
      </c>
      <c r="H552" s="89">
        <f t="shared" si="42"/>
        <v>200707.68999999997</v>
      </c>
      <c r="I552" s="89">
        <f t="shared" si="42"/>
        <v>0</v>
      </c>
      <c r="J552" s="89">
        <f t="shared" si="42"/>
        <v>310016.69</v>
      </c>
      <c r="K552" s="89">
        <f t="shared" si="42"/>
        <v>4866969.41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3">
        <v>4</v>
      </c>
      <c r="D560" s="194" t="s">
        <v>433</v>
      </c>
      <c r="E560" s="193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4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SUM(G575:H575)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4">
        <v>0</v>
      </c>
      <c r="G576" s="18">
        <v>0</v>
      </c>
      <c r="H576" s="18">
        <v>0</v>
      </c>
      <c r="I576" s="87">
        <f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ref="I577:I587" si="47">SUM(F577:H577)</f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13437.96</v>
      </c>
      <c r="I578" s="87">
        <f t="shared" si="47"/>
        <v>13437.96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93842.58</v>
      </c>
      <c r="G579" s="18">
        <v>37559.730000000003</v>
      </c>
      <c r="H579" s="18">
        <v>254946.76</v>
      </c>
      <c r="I579" s="87">
        <f t="shared" si="47"/>
        <v>386349.07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5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5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5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24640.93</v>
      </c>
      <c r="I584" s="87">
        <f t="shared" si="47"/>
        <v>24640.93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6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516921.58</v>
      </c>
      <c r="I591" s="18">
        <v>208606.3</v>
      </c>
      <c r="J591" s="18">
        <v>306270.36</v>
      </c>
      <c r="K591" s="104">
        <f t="shared" ref="K591:K597" si="48">SUM(H591:J591)</f>
        <v>1031798.24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93740.23</v>
      </c>
      <c r="I592" s="18">
        <v>47266.71</v>
      </c>
      <c r="J592" s="18">
        <v>169009.75</v>
      </c>
      <c r="K592" s="104">
        <f t="shared" si="48"/>
        <v>310016.69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39432.910000000003</v>
      </c>
      <c r="K593" s="104">
        <f t="shared" si="48"/>
        <v>39432.910000000003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12213.78</v>
      </c>
      <c r="J594" s="18">
        <v>30293.29</v>
      </c>
      <c r="K594" s="104">
        <f t="shared" si="48"/>
        <v>42507.07</v>
      </c>
      <c r="L594" s="24" t="s">
        <v>289</v>
      </c>
      <c r="M594" s="8"/>
      <c r="N594" s="270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22478.68</v>
      </c>
      <c r="I595" s="18">
        <v>6309.01</v>
      </c>
      <c r="J595" s="18">
        <v>8617.36</v>
      </c>
      <c r="K595" s="104">
        <f t="shared" si="48"/>
        <v>37405.050000000003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8">
        <f>SUM(H591:H597)</f>
        <v>633140.49000000011</v>
      </c>
      <c r="I598" s="108">
        <f>SUM(I591:I597)</f>
        <v>274395.8</v>
      </c>
      <c r="J598" s="108">
        <f>SUM(J591:J597)</f>
        <v>553623.67000000004</v>
      </c>
      <c r="K598" s="108">
        <f>SUM(K591:K597)</f>
        <v>1461159.96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153365.47+41125.36</f>
        <v>194490.83000000002</v>
      </c>
      <c r="I604" s="18">
        <f>137515.87+549</f>
        <v>138064.87</v>
      </c>
      <c r="J604" s="18">
        <f>184193.12+1153</f>
        <v>185346.12</v>
      </c>
      <c r="K604" s="104">
        <f>SUM(H604:J604)</f>
        <v>517901.82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8">
        <f>SUM(H602:H604)</f>
        <v>194490.83000000002</v>
      </c>
      <c r="I605" s="108">
        <f>SUM(I602:I604)</f>
        <v>138064.87</v>
      </c>
      <c r="J605" s="108">
        <f>SUM(J602:J604)</f>
        <v>185346.12</v>
      </c>
      <c r="K605" s="108">
        <f>SUM(K602:K604)</f>
        <v>517901.82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278">
        <v>31138.080000000002</v>
      </c>
      <c r="G611" s="278">
        <v>5928.08</v>
      </c>
      <c r="H611" s="278">
        <v>40659.050000000003</v>
      </c>
      <c r="I611" s="278">
        <v>124.74</v>
      </c>
      <c r="J611" s="278">
        <v>0</v>
      </c>
      <c r="K611" s="18">
        <v>0</v>
      </c>
      <c r="L611" s="88">
        <f>SUM(F611:K611)</f>
        <v>77849.950000000012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8290.41</v>
      </c>
      <c r="G612" s="18">
        <v>1706.45</v>
      </c>
      <c r="H612" s="18">
        <v>3200.01</v>
      </c>
      <c r="I612" s="18">
        <v>292.25</v>
      </c>
      <c r="J612" s="18">
        <v>0</v>
      </c>
      <c r="K612" s="18">
        <v>0</v>
      </c>
      <c r="L612" s="88">
        <f>SUM(F612:K612)</f>
        <v>13489.12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11402.91</v>
      </c>
      <c r="G613" s="18">
        <v>2466.25</v>
      </c>
      <c r="H613" s="18">
        <f>1671.37+238.28</f>
        <v>1909.6499999999999</v>
      </c>
      <c r="I613" s="18">
        <v>566.64</v>
      </c>
      <c r="J613" s="18">
        <v>0</v>
      </c>
      <c r="K613" s="18">
        <v>0</v>
      </c>
      <c r="L613" s="88">
        <f>SUM(F613:K613)</f>
        <v>16345.449999999999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50831.400000000009</v>
      </c>
      <c r="G614" s="108">
        <f t="shared" si="49"/>
        <v>10100.779999999999</v>
      </c>
      <c r="H614" s="108">
        <f t="shared" si="49"/>
        <v>45768.710000000006</v>
      </c>
      <c r="I614" s="108">
        <f t="shared" si="49"/>
        <v>983.63</v>
      </c>
      <c r="J614" s="108">
        <f t="shared" si="49"/>
        <v>0</v>
      </c>
      <c r="K614" s="108">
        <f t="shared" si="49"/>
        <v>0</v>
      </c>
      <c r="L614" s="89">
        <f t="shared" si="49"/>
        <v>107684.52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1926760.1199999999</v>
      </c>
      <c r="H617" s="109">
        <f>SUM(F52)</f>
        <v>1926760.12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50452.59</v>
      </c>
      <c r="H618" s="109">
        <f>SUM(G52)</f>
        <v>50452.59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294939.33</v>
      </c>
      <c r="H619" s="109">
        <f>SUM(H52)</f>
        <v>294939.33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375551.53</v>
      </c>
      <c r="H621" s="109">
        <f>SUM(J52)</f>
        <v>375551.53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1730511.9500000002</v>
      </c>
      <c r="H622" s="109">
        <f>F476</f>
        <v>1730511.9499999993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25037.089999999997</v>
      </c>
      <c r="H623" s="109">
        <f>G476</f>
        <v>25037.089999999967</v>
      </c>
      <c r="I623" s="121" t="s">
        <v>102</v>
      </c>
      <c r="J623" s="109">
        <f t="shared" si="50"/>
        <v>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265551.53000000003</v>
      </c>
      <c r="H626" s="109">
        <f>J476</f>
        <v>265551.52999999997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19617809.149999999</v>
      </c>
      <c r="H627" s="104">
        <f>SUM(F468)</f>
        <v>19617809.149999999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618337.17000000004</v>
      </c>
      <c r="H628" s="104">
        <f>SUM(G468)</f>
        <v>618337.17000000004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1155915.21</v>
      </c>
      <c r="H629" s="104">
        <f>SUM(H468)</f>
        <v>1155915.21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60024.98</v>
      </c>
      <c r="H631" s="104">
        <f>SUM(J468)</f>
        <v>60024.98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19787997.75</v>
      </c>
      <c r="H632" s="104">
        <f>SUM(F472)</f>
        <v>19787997.749999996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1155915.21</v>
      </c>
      <c r="H633" s="104">
        <f>SUM(H472)</f>
        <v>1155915.21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264971.68</v>
      </c>
      <c r="H634" s="104">
        <f>I369</f>
        <v>264971.68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613395.67000000004</v>
      </c>
      <c r="H635" s="104">
        <f>SUM(G472)</f>
        <v>613395.67000000004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0">
        <f>SUM(L408)</f>
        <v>60024.98</v>
      </c>
      <c r="H637" s="163">
        <f>SUM(J468)</f>
        <v>60024.98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0">
        <f>SUM(L434)</f>
        <v>116947.42</v>
      </c>
      <c r="H638" s="163">
        <f>SUM(J472)</f>
        <v>116947.42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375551.53</v>
      </c>
      <c r="H640" s="104">
        <f>SUM(G461)</f>
        <v>375551.53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375551.53</v>
      </c>
      <c r="H642" s="104">
        <f>SUM(I461)</f>
        <v>375551.53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24.98</v>
      </c>
      <c r="H644" s="104">
        <f>H408</f>
        <v>24.98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60024.98</v>
      </c>
      <c r="H646" s="104">
        <f>L408</f>
        <v>60024.98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1461159.96</v>
      </c>
      <c r="H647" s="104">
        <f>L208+L226+L244</f>
        <v>1461159.96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517901.82</v>
      </c>
      <c r="H648" s="104">
        <f>(J257+J338)-(J255+J336)</f>
        <v>517901.81999999995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633140.49</v>
      </c>
      <c r="H649" s="104">
        <f>H598</f>
        <v>633140.49000000011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274395.8</v>
      </c>
      <c r="H650" s="104">
        <f>I598</f>
        <v>274395.8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553623.66999999993</v>
      </c>
      <c r="H651" s="104">
        <f>J598</f>
        <v>553623.67000000004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103696.88</v>
      </c>
      <c r="H652" s="104">
        <f>K263+K345</f>
        <v>103696.88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9397809.1099999994</v>
      </c>
      <c r="G660" s="19">
        <f>(L229+L309+L359)</f>
        <v>4785665.8</v>
      </c>
      <c r="H660" s="19">
        <f>(L247+L328+L360)</f>
        <v>6917689.9699999997</v>
      </c>
      <c r="I660" s="19">
        <f>SUM(F660:H660)</f>
        <v>21101164.879999999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67479.407857428145</v>
      </c>
      <c r="G661" s="19">
        <f>(L359/IF(SUM(L358:L360)=0,1,SUM(L358:L360))*(SUM(G97:G110)))</f>
        <v>45226.013140619652</v>
      </c>
      <c r="H661" s="19">
        <f>(L360/IF(SUM(L358:L360)=0,1,SUM(L358:L360))*(SUM(G97:G110)))</f>
        <v>119944.13900195219</v>
      </c>
      <c r="I661" s="19">
        <f>SUM(F661:H661)</f>
        <v>232649.56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649836.16</v>
      </c>
      <c r="G662" s="19">
        <f>(L226+L306)-(J226+J306)</f>
        <v>275376.8</v>
      </c>
      <c r="H662" s="19">
        <f>(L244+L325)-(J244+J325)</f>
        <v>555042.66999999993</v>
      </c>
      <c r="I662" s="19">
        <f>SUM(F662:H662)</f>
        <v>1480255.63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8"/>
      <c r="C663" s="168"/>
      <c r="D663" s="168"/>
      <c r="E663" s="168"/>
      <c r="F663" s="197">
        <f>SUM(F575:F587)+SUM(H602:H604)+SUM(L611)</f>
        <v>366183.36000000004</v>
      </c>
      <c r="G663" s="197">
        <f>SUM(G575:G587)+SUM(I602:I604)+L612</f>
        <v>189113.72</v>
      </c>
      <c r="H663" s="197">
        <f>SUM(H575:H587)+SUM(J602:J604)+L613</f>
        <v>494717.22000000003</v>
      </c>
      <c r="I663" s="19">
        <f>SUM(F663:H663)</f>
        <v>1050014.3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8314310.1821425706</v>
      </c>
      <c r="G664" s="19">
        <f>G660-SUM(G661:G663)</f>
        <v>4275949.2668593805</v>
      </c>
      <c r="H664" s="19">
        <f>H660-SUM(H661:H663)</f>
        <v>5747985.9409980476</v>
      </c>
      <c r="I664" s="19">
        <f>I660-SUM(I661:I663)</f>
        <v>18338245.390000001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f>449.8+49.15+5.82</f>
        <v>504.77</v>
      </c>
      <c r="G665" s="246">
        <v>275.5</v>
      </c>
      <c r="H665" s="246">
        <v>335.77</v>
      </c>
      <c r="I665" s="19">
        <f>SUM(F665:H665)</f>
        <v>1116.04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16471.48</v>
      </c>
      <c r="G667" s="19">
        <f>ROUND(G664/G665,2)</f>
        <v>15520.69</v>
      </c>
      <c r="H667" s="19">
        <f>ROUND(H664/H665,2)</f>
        <v>17118.82</v>
      </c>
      <c r="I667" s="19">
        <f>ROUND(I664/I665,2)</f>
        <v>16431.53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-5.94</v>
      </c>
      <c r="I670" s="19">
        <f>SUM(F670:H670)</f>
        <v>-5.94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16471.48</v>
      </c>
      <c r="G672" s="19">
        <f>ROUND((G664+G669)/(G665+G670),2)</f>
        <v>15520.69</v>
      </c>
      <c r="H672" s="19">
        <f>ROUND((H664+H669)/(H665+H670),2)</f>
        <v>17427.12</v>
      </c>
      <c r="I672" s="19">
        <f>ROUND((I664+I669)/(I665+I670),2)</f>
        <v>16519.45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SAU#4 Newfound Area School District</v>
      </c>
      <c r="C1" s="236" t="s">
        <v>839</v>
      </c>
    </row>
    <row r="2" spans="1:3" x14ac:dyDescent="0.2">
      <c r="A2" s="231"/>
      <c r="B2" s="230"/>
    </row>
    <row r="3" spans="1:3" x14ac:dyDescent="0.2">
      <c r="A3" s="287" t="s">
        <v>784</v>
      </c>
      <c r="B3" s="287"/>
      <c r="C3" s="287"/>
    </row>
    <row r="4" spans="1:3" x14ac:dyDescent="0.2">
      <c r="A4" s="234"/>
      <c r="B4" s="235" t="str">
        <f>'DOE25'!H1</f>
        <v>DOE 25  2014-2015</v>
      </c>
      <c r="C4" s="234"/>
    </row>
    <row r="5" spans="1:3" x14ac:dyDescent="0.2">
      <c r="A5" s="231"/>
      <c r="B5" s="230"/>
    </row>
    <row r="6" spans="1:3" x14ac:dyDescent="0.2">
      <c r="A6" s="225"/>
      <c r="B6" s="286" t="s">
        <v>783</v>
      </c>
      <c r="C6" s="286"/>
    </row>
    <row r="7" spans="1:3" x14ac:dyDescent="0.2">
      <c r="A7" s="237" t="s">
        <v>786</v>
      </c>
      <c r="B7" s="284" t="s">
        <v>782</v>
      </c>
      <c r="C7" s="285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4966240.5</v>
      </c>
      <c r="C9" s="227">
        <f>'DOE25'!G197+'DOE25'!G215+'DOE25'!G233+'DOE25'!G276+'DOE25'!G295+'DOE25'!G314</f>
        <v>2283963.4700000002</v>
      </c>
    </row>
    <row r="10" spans="1:3" x14ac:dyDescent="0.2">
      <c r="A10" t="s">
        <v>779</v>
      </c>
      <c r="B10" s="238">
        <v>4491605.1399999997</v>
      </c>
      <c r="C10" s="238">
        <v>2085111.14</v>
      </c>
    </row>
    <row r="11" spans="1:3" x14ac:dyDescent="0.2">
      <c r="A11" t="s">
        <v>780</v>
      </c>
      <c r="B11" s="238">
        <v>291896.87</v>
      </c>
      <c r="C11" s="238">
        <v>77412.240000000005</v>
      </c>
    </row>
    <row r="12" spans="1:3" x14ac:dyDescent="0.2">
      <c r="A12" t="s">
        <v>781</v>
      </c>
      <c r="B12" s="238">
        <f>B9-B10-B11</f>
        <v>182738.49000000034</v>
      </c>
      <c r="C12" s="238">
        <f>C9-C10-C11</f>
        <v>121440.0900000003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4966240.5</v>
      </c>
      <c r="C13" s="229">
        <f>SUM(C10:C12)</f>
        <v>2283963.4700000002</v>
      </c>
    </row>
    <row r="14" spans="1:3" x14ac:dyDescent="0.2">
      <c r="B14" s="228"/>
      <c r="C14" s="228"/>
    </row>
    <row r="15" spans="1:3" x14ac:dyDescent="0.2">
      <c r="B15" s="286" t="s">
        <v>783</v>
      </c>
      <c r="C15" s="286"/>
    </row>
    <row r="16" spans="1:3" x14ac:dyDescent="0.2">
      <c r="A16" s="237" t="s">
        <v>787</v>
      </c>
      <c r="B16" s="284" t="s">
        <v>707</v>
      </c>
      <c r="C16" s="285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1930175.2599999998</v>
      </c>
      <c r="C18" s="227">
        <f>'DOE25'!G198+'DOE25'!G216+'DOE25'!G234+'DOE25'!G277+'DOE25'!G296+'DOE25'!G315</f>
        <v>976243.07000000007</v>
      </c>
    </row>
    <row r="19" spans="1:3" x14ac:dyDescent="0.2">
      <c r="A19" t="s">
        <v>779</v>
      </c>
      <c r="B19" s="238">
        <v>717765.87</v>
      </c>
      <c r="C19" s="238">
        <v>379211.31</v>
      </c>
    </row>
    <row r="20" spans="1:3" x14ac:dyDescent="0.2">
      <c r="A20" t="s">
        <v>780</v>
      </c>
      <c r="B20" s="238">
        <v>1074332.95</v>
      </c>
      <c r="C20" s="238">
        <v>523036</v>
      </c>
    </row>
    <row r="21" spans="1:3" x14ac:dyDescent="0.2">
      <c r="A21" t="s">
        <v>781</v>
      </c>
      <c r="B21" s="238">
        <f>B18-B19-B20</f>
        <v>138076.43999999971</v>
      </c>
      <c r="C21" s="238">
        <f>C18-C19-C20</f>
        <v>73995.760000000009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1930175.2599999995</v>
      </c>
      <c r="C22" s="229">
        <f>SUM(C19:C21)</f>
        <v>976243.07000000007</v>
      </c>
    </row>
    <row r="23" spans="1:3" x14ac:dyDescent="0.2">
      <c r="B23" s="228"/>
      <c r="C23" s="228"/>
    </row>
    <row r="24" spans="1:3" x14ac:dyDescent="0.2">
      <c r="B24" s="286" t="s">
        <v>783</v>
      </c>
      <c r="C24" s="286"/>
    </row>
    <row r="25" spans="1:3" x14ac:dyDescent="0.2">
      <c r="A25" s="237" t="s">
        <v>788</v>
      </c>
      <c r="B25" s="284" t="s">
        <v>708</v>
      </c>
      <c r="C25" s="285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779</v>
      </c>
      <c r="B28" s="238">
        <v>0</v>
      </c>
      <c r="C28" s="238">
        <v>0</v>
      </c>
    </row>
    <row r="29" spans="1:3" x14ac:dyDescent="0.2">
      <c r="A29" t="s">
        <v>780</v>
      </c>
      <c r="B29" s="238">
        <v>0</v>
      </c>
      <c r="C29" s="238">
        <v>0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86" t="s">
        <v>783</v>
      </c>
      <c r="C33" s="286"/>
    </row>
    <row r="34" spans="1:3" x14ac:dyDescent="0.2">
      <c r="A34" s="237" t="s">
        <v>789</v>
      </c>
      <c r="B34" s="284" t="s">
        <v>709</v>
      </c>
      <c r="C34" s="285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498963.94</v>
      </c>
      <c r="C36" s="233">
        <f>'DOE25'!G200+'DOE25'!G218+'DOE25'!G236+'DOE25'!G279+'DOE25'!G298+'DOE25'!G317</f>
        <v>111784.65</v>
      </c>
    </row>
    <row r="37" spans="1:3" x14ac:dyDescent="0.2">
      <c r="A37" t="s">
        <v>779</v>
      </c>
      <c r="B37" s="238">
        <v>87841.21</v>
      </c>
      <c r="C37" s="238">
        <v>18666.650000000001</v>
      </c>
    </row>
    <row r="38" spans="1:3" x14ac:dyDescent="0.2">
      <c r="A38" t="s">
        <v>780</v>
      </c>
      <c r="B38" s="238">
        <v>60421.25</v>
      </c>
      <c r="C38" s="238">
        <v>10242.700000000001</v>
      </c>
    </row>
    <row r="39" spans="1:3" x14ac:dyDescent="0.2">
      <c r="A39" t="s">
        <v>781</v>
      </c>
      <c r="B39" s="238">
        <f>B36-B37-B38</f>
        <v>350701.48</v>
      </c>
      <c r="C39" s="238">
        <f>C36-C37-C38</f>
        <v>82875.3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498963.94</v>
      </c>
      <c r="C40" s="229">
        <f>SUM(C37:C39)</f>
        <v>111784.65000000001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6" t="s">
        <v>790</v>
      </c>
      <c r="B1" s="291"/>
      <c r="C1" s="291"/>
      <c r="D1" s="291"/>
      <c r="E1" s="291"/>
      <c r="F1" s="291"/>
      <c r="G1" s="291"/>
      <c r="H1" s="291"/>
      <c r="I1" s="179"/>
    </row>
    <row r="2" spans="1:9" x14ac:dyDescent="0.2">
      <c r="A2" s="33" t="s">
        <v>717</v>
      </c>
      <c r="B2" s="263" t="str">
        <f>'DOE25'!A2</f>
        <v>SAU#4 Newfound Area School District</v>
      </c>
      <c r="C2" s="179"/>
      <c r="D2" s="179" t="s">
        <v>792</v>
      </c>
      <c r="E2" s="179" t="s">
        <v>794</v>
      </c>
      <c r="F2" s="288" t="s">
        <v>821</v>
      </c>
      <c r="G2" s="289"/>
      <c r="H2" s="290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10899437.17</v>
      </c>
      <c r="D5" s="20">
        <f>SUM('DOE25'!L197:L200)+SUM('DOE25'!L215:L218)+SUM('DOE25'!L233:L236)-F5-G5</f>
        <v>10787532.23</v>
      </c>
      <c r="E5" s="241"/>
      <c r="F5" s="253">
        <f>SUM('DOE25'!J197:J200)+SUM('DOE25'!J215:J218)+SUM('DOE25'!J233:J236)</f>
        <v>47799.75</v>
      </c>
      <c r="G5" s="53">
        <f>SUM('DOE25'!K197:K200)+SUM('DOE25'!K215:K218)+SUM('DOE25'!K233:K236)</f>
        <v>64105.19</v>
      </c>
      <c r="H5" s="257"/>
    </row>
    <row r="6" spans="1:9" x14ac:dyDescent="0.2">
      <c r="A6" s="32">
        <v>2100</v>
      </c>
      <c r="B6" t="s">
        <v>801</v>
      </c>
      <c r="C6" s="243">
        <f t="shared" si="0"/>
        <v>1993566.75</v>
      </c>
      <c r="D6" s="20">
        <f>'DOE25'!L202+'DOE25'!L220+'DOE25'!L238-F6-G6</f>
        <v>1988149.27</v>
      </c>
      <c r="E6" s="241"/>
      <c r="F6" s="253">
        <f>'DOE25'!J202+'DOE25'!J220+'DOE25'!J238</f>
        <v>4898.4799999999996</v>
      </c>
      <c r="G6" s="53">
        <f>'DOE25'!K202+'DOE25'!K220+'DOE25'!K238</f>
        <v>519</v>
      </c>
      <c r="H6" s="257"/>
    </row>
    <row r="7" spans="1:9" x14ac:dyDescent="0.2">
      <c r="A7" s="32">
        <v>2200</v>
      </c>
      <c r="B7" t="s">
        <v>834</v>
      </c>
      <c r="C7" s="243">
        <f t="shared" si="0"/>
        <v>1018402.77</v>
      </c>
      <c r="D7" s="20">
        <f>'DOE25'!L203+'DOE25'!L221+'DOE25'!L239-F7-G7</f>
        <v>572991.1</v>
      </c>
      <c r="E7" s="241"/>
      <c r="F7" s="253">
        <f>'DOE25'!J203+'DOE25'!J221+'DOE25'!J239</f>
        <v>322783.62</v>
      </c>
      <c r="G7" s="53">
        <f>'DOE25'!K203+'DOE25'!K221+'DOE25'!K239</f>
        <v>122628.05</v>
      </c>
      <c r="H7" s="257"/>
    </row>
    <row r="8" spans="1:9" x14ac:dyDescent="0.2">
      <c r="A8" s="32">
        <v>2300</v>
      </c>
      <c r="B8" t="s">
        <v>802</v>
      </c>
      <c r="C8" s="243">
        <f t="shared" si="0"/>
        <v>792666.02999999991</v>
      </c>
      <c r="D8" s="241"/>
      <c r="E8" s="20">
        <f>'DOE25'!L204+'DOE25'!L222+'DOE25'!L240-F8-G8-D9-D11</f>
        <v>768440.62999999989</v>
      </c>
      <c r="F8" s="253">
        <f>'DOE25'!J204+'DOE25'!J222+'DOE25'!J240</f>
        <v>1786.49</v>
      </c>
      <c r="G8" s="53">
        <f>'DOE25'!K204+'DOE25'!K222+'DOE25'!K240</f>
        <v>22438.91</v>
      </c>
      <c r="H8" s="257"/>
    </row>
    <row r="9" spans="1:9" x14ac:dyDescent="0.2">
      <c r="A9" s="32">
        <v>2310</v>
      </c>
      <c r="B9" t="s">
        <v>818</v>
      </c>
      <c r="C9" s="243">
        <f t="shared" si="0"/>
        <v>9821.5</v>
      </c>
      <c r="D9" s="242">
        <v>9821.5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16127</v>
      </c>
      <c r="D10" s="241"/>
      <c r="E10" s="242">
        <v>16127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237876.29</v>
      </c>
      <c r="D11" s="242">
        <f>120760.35+52585.59+22958.19+41572.16</f>
        <v>237876.29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1241641.1800000002</v>
      </c>
      <c r="D12" s="20">
        <f>'DOE25'!L205+'DOE25'!L223+'DOE25'!L241-F12-G12</f>
        <v>1223843.2600000002</v>
      </c>
      <c r="E12" s="241"/>
      <c r="F12" s="253">
        <f>'DOE25'!J205+'DOE25'!J223+'DOE25'!J241</f>
        <v>711.04</v>
      </c>
      <c r="G12" s="53">
        <f>'DOE25'!K205+'DOE25'!K223+'DOE25'!K241</f>
        <v>17086.879999999997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1677282.35</v>
      </c>
      <c r="D14" s="20">
        <f>'DOE25'!L207+'DOE25'!L225+'DOE25'!L243-F14-G14</f>
        <v>1580187.27</v>
      </c>
      <c r="E14" s="241"/>
      <c r="F14" s="253">
        <f>'DOE25'!J207+'DOE25'!J225+'DOE25'!J243</f>
        <v>97095.08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1461159.96</v>
      </c>
      <c r="D15" s="20">
        <f>'DOE25'!L208+'DOE25'!L226+'DOE25'!L244-F15-G15</f>
        <v>1461159.96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0</v>
      </c>
      <c r="D16" s="241"/>
      <c r="E16" s="20">
        <f>'DOE25'!L209+'DOE25'!L227+'DOE25'!L245-F16-G16</f>
        <v>0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292446.87</v>
      </c>
      <c r="D25" s="241"/>
      <c r="E25" s="241"/>
      <c r="F25" s="256"/>
      <c r="G25" s="254"/>
      <c r="H25" s="255">
        <f>'DOE25'!L260+'DOE25'!L261+'DOE25'!L341+'DOE25'!L342</f>
        <v>292446.87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348542.03</v>
      </c>
      <c r="D29" s="20">
        <f>'DOE25'!L358+'DOE25'!L359+'DOE25'!L360-'DOE25'!I367-F29-G29</f>
        <v>345920.37000000005</v>
      </c>
      <c r="E29" s="241"/>
      <c r="F29" s="253">
        <f>'DOE25'!J358+'DOE25'!J359+'DOE25'!J360</f>
        <v>1817.6599999999999</v>
      </c>
      <c r="G29" s="53">
        <f>'DOE25'!K358+'DOE25'!K359+'DOE25'!K360</f>
        <v>804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1155915.21</v>
      </c>
      <c r="D31" s="20">
        <f>'DOE25'!L290+'DOE25'!L309+'DOE25'!L328+'DOE25'!L333+'DOE25'!L334+'DOE25'!L335-F31-G31</f>
        <v>1107587.3499999999</v>
      </c>
      <c r="E31" s="241"/>
      <c r="F31" s="253">
        <f>'DOE25'!J290+'DOE25'!J309+'DOE25'!J328+'DOE25'!J333+'DOE25'!J334+'DOE25'!J335</f>
        <v>42827.360000000001</v>
      </c>
      <c r="G31" s="53">
        <f>'DOE25'!K290+'DOE25'!K309+'DOE25'!K328+'DOE25'!K333+'DOE25'!K334+'DOE25'!K335</f>
        <v>5500.5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19315068.600000001</v>
      </c>
      <c r="E33" s="244">
        <f>SUM(E5:E31)</f>
        <v>784567.62999999989</v>
      </c>
      <c r="F33" s="244">
        <f>SUM(F5:F31)</f>
        <v>519719.47999999992</v>
      </c>
      <c r="G33" s="244">
        <f>SUM(G5:G31)</f>
        <v>233082.53</v>
      </c>
      <c r="H33" s="244">
        <f>SUM(H5:H31)</f>
        <v>292446.87</v>
      </c>
    </row>
    <row r="35" spans="2:8" ht="12" thickBot="1" x14ac:dyDescent="0.25">
      <c r="B35" s="251" t="s">
        <v>847</v>
      </c>
      <c r="D35" s="252">
        <f>E33</f>
        <v>784567.62999999989</v>
      </c>
      <c r="E35" s="247"/>
    </row>
    <row r="36" spans="2:8" ht="12" thickTop="1" x14ac:dyDescent="0.2">
      <c r="B36" t="s">
        <v>815</v>
      </c>
      <c r="D36" s="20">
        <f>D33</f>
        <v>19315068.600000001</v>
      </c>
    </row>
    <row r="38" spans="2:8" x14ac:dyDescent="0.2">
      <c r="B38" s="185" t="s">
        <v>907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6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SAU#4 Newfound Area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1168870.7899999998</v>
      </c>
      <c r="D8" s="95">
        <f>'DOE25'!G9</f>
        <v>195.25</v>
      </c>
      <c r="E8" s="95">
        <f>'DOE25'!H9</f>
        <v>0</v>
      </c>
      <c r="F8" s="95">
        <f>'DOE25'!I9</f>
        <v>0</v>
      </c>
      <c r="G8" s="95">
        <f>'DOE25'!J9</f>
        <v>135328.38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555645.14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240223.15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163200.64000000001</v>
      </c>
      <c r="D11" s="95">
        <f>'DOE25'!G12</f>
        <v>22573.17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38031.96</v>
      </c>
      <c r="D12" s="95">
        <f>'DOE25'!G13</f>
        <v>21319</v>
      </c>
      <c r="E12" s="95">
        <f>'DOE25'!H13</f>
        <v>294939.33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1011.5900000000001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6365.17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1926760.1199999999</v>
      </c>
      <c r="D18" s="41">
        <f>SUM(D8:D17)</f>
        <v>50452.59</v>
      </c>
      <c r="E18" s="41">
        <f>SUM(E8:E17)</f>
        <v>294939.33</v>
      </c>
      <c r="F18" s="41">
        <f>SUM(F8:F17)</f>
        <v>0</v>
      </c>
      <c r="G18" s="41">
        <f>SUM(G8:G17)</f>
        <v>375551.53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187904.97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66384.289999999994</v>
      </c>
      <c r="D23" s="95">
        <f>'DOE25'!G24</f>
        <v>3620.93</v>
      </c>
      <c r="E23" s="95">
        <f>'DOE25'!H24</f>
        <v>6150</v>
      </c>
      <c r="F23" s="95">
        <f>'DOE25'!I24</f>
        <v>0</v>
      </c>
      <c r="G23" s="95">
        <f>'DOE25'!J24</f>
        <v>110000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81185.8</v>
      </c>
      <c r="D27" s="95">
        <f>'DOE25'!G28</f>
        <v>3004.11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48678.080000000002</v>
      </c>
      <c r="D29" s="95">
        <f>'DOE25'!G30</f>
        <v>18790.46</v>
      </c>
      <c r="E29" s="95">
        <f>'DOE25'!H30</f>
        <v>100884.36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196248.16999999998</v>
      </c>
      <c r="D31" s="41">
        <f>SUM(D21:D30)</f>
        <v>25415.5</v>
      </c>
      <c r="E31" s="41">
        <f>SUM(E21:E30)</f>
        <v>294939.33</v>
      </c>
      <c r="F31" s="41">
        <f>SUM(F21:F30)</f>
        <v>0</v>
      </c>
      <c r="G31" s="41">
        <f>SUM(G21:G30)</f>
        <v>110000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6365.17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117491.85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18671.919999999998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148059.68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637343.99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783167.96000000008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1730511.9500000002</v>
      </c>
      <c r="D50" s="41">
        <f>SUM(D34:D49)</f>
        <v>25037.089999999997</v>
      </c>
      <c r="E50" s="41">
        <f>SUM(E34:E49)</f>
        <v>0</v>
      </c>
      <c r="F50" s="41">
        <f>SUM(F34:F49)</f>
        <v>0</v>
      </c>
      <c r="G50" s="41">
        <f>SUM(G34:G49)</f>
        <v>265551.53000000003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1926760.12</v>
      </c>
      <c r="D51" s="41">
        <f>D50+D31</f>
        <v>50452.59</v>
      </c>
      <c r="E51" s="41">
        <f>E50+E31</f>
        <v>294939.33</v>
      </c>
      <c r="F51" s="41">
        <f>F50+F31</f>
        <v>0</v>
      </c>
      <c r="G51" s="41">
        <f>G50+G31</f>
        <v>375551.53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10930547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74867.710000000006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3141.87</v>
      </c>
      <c r="D59" s="95">
        <f>'DOE25'!G96</f>
        <v>115.34</v>
      </c>
      <c r="E59" s="95">
        <f>'DOE25'!H96</f>
        <v>0</v>
      </c>
      <c r="F59" s="95">
        <f>'DOE25'!I96</f>
        <v>0</v>
      </c>
      <c r="G59" s="95">
        <f>'DOE25'!J96</f>
        <v>24.98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232649.56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319946.03000000003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397955.61000000004</v>
      </c>
      <c r="D62" s="130">
        <f>SUM(D57:D61)</f>
        <v>232764.9</v>
      </c>
      <c r="E62" s="130">
        <f>SUM(E57:E61)</f>
        <v>0</v>
      </c>
      <c r="F62" s="130">
        <f>SUM(F57:F61)</f>
        <v>0</v>
      </c>
      <c r="G62" s="130">
        <f>SUM(G57:G61)</f>
        <v>24.98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11328502.609999999</v>
      </c>
      <c r="D63" s="22">
        <f>D56+D62</f>
        <v>232764.9</v>
      </c>
      <c r="E63" s="22">
        <f>E56+E62</f>
        <v>0</v>
      </c>
      <c r="F63" s="22">
        <f>F56+F62</f>
        <v>0</v>
      </c>
      <c r="G63" s="22">
        <f>G56+G62</f>
        <v>24.98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3370543.94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4164401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7534944.9399999995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97426.2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147265.84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10140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6275.07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254832.03999999998</v>
      </c>
      <c r="D78" s="130">
        <f>SUM(D72:D77)</f>
        <v>6275.07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7789776.9799999995</v>
      </c>
      <c r="D81" s="130">
        <f>SUM(D79:D80)+D78+D70</f>
        <v>6275.07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892243.90999999992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386785.9</v>
      </c>
      <c r="D88" s="95">
        <f>SUM('DOE25'!G153:G161)</f>
        <v>275600.32</v>
      </c>
      <c r="E88" s="95">
        <f>SUM('DOE25'!H153:H161)</f>
        <v>263671.3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2743.66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389529.56</v>
      </c>
      <c r="D91" s="131">
        <f>SUM(D85:D90)</f>
        <v>275600.32</v>
      </c>
      <c r="E91" s="131">
        <f>SUM(E85:E90)</f>
        <v>1155915.21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103696.88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110000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110000</v>
      </c>
      <c r="D103" s="86">
        <f>SUM(D93:D102)</f>
        <v>103696.88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19617809.149999999</v>
      </c>
      <c r="D104" s="86">
        <f>D63+D81+D91+D103</f>
        <v>618337.17000000004</v>
      </c>
      <c r="E104" s="86">
        <f>E63+E81+E91+E103</f>
        <v>1155915.21</v>
      </c>
      <c r="F104" s="86">
        <f>F63+F81+F91+F103</f>
        <v>0</v>
      </c>
      <c r="G104" s="86">
        <f>G63+G81+G103</f>
        <v>60024.98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7221391.1599999992</v>
      </c>
      <c r="D109" s="24" t="s">
        <v>289</v>
      </c>
      <c r="E109" s="95">
        <f>('DOE25'!L276)+('DOE25'!L295)+('DOE25'!L314)</f>
        <v>379836.55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3177214.01</v>
      </c>
      <c r="D110" s="24" t="s">
        <v>289</v>
      </c>
      <c r="E110" s="95">
        <f>('DOE25'!L277)+('DOE25'!L296)+('DOE25'!L315)</f>
        <v>151011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24640.93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476191.07</v>
      </c>
      <c r="D112" s="24" t="s">
        <v>289</v>
      </c>
      <c r="E112" s="95">
        <f>+('DOE25'!L279)+('DOE25'!L298)+('DOE25'!L317)</f>
        <v>304953.95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10899437.169999998</v>
      </c>
      <c r="D115" s="86">
        <f>SUM(D109:D114)</f>
        <v>0</v>
      </c>
      <c r="E115" s="86">
        <f>SUM(E109:E114)</f>
        <v>835801.5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1993566.75</v>
      </c>
      <c r="D118" s="24" t="s">
        <v>289</v>
      </c>
      <c r="E118" s="95">
        <f>+('DOE25'!L281)+('DOE25'!L300)+('DOE25'!L319)</f>
        <v>164748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1018402.77</v>
      </c>
      <c r="D119" s="24" t="s">
        <v>289</v>
      </c>
      <c r="E119" s="95">
        <f>+('DOE25'!L282)+('DOE25'!L301)+('DOE25'!L320)</f>
        <v>123197.72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1040363.82</v>
      </c>
      <c r="D120" s="24" t="s">
        <v>289</v>
      </c>
      <c r="E120" s="95">
        <f>+('DOE25'!L283)+('DOE25'!L302)+('DOE25'!L321)</f>
        <v>13072.32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1241641.1800000002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1677282.35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1461159.96</v>
      </c>
      <c r="D124" s="24" t="s">
        <v>289</v>
      </c>
      <c r="E124" s="95">
        <f>+('DOE25'!L287)+('DOE25'!L306)+('DOE25'!L325)</f>
        <v>19095.669999999998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613395.67000000004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8432416.8299999982</v>
      </c>
      <c r="D128" s="86">
        <f>SUM(D118:D127)</f>
        <v>613395.67000000004</v>
      </c>
      <c r="E128" s="86">
        <f>SUM(E118:E127)</f>
        <v>320113.70999999996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177138.53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115308.34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116947.42</v>
      </c>
    </row>
    <row r="135" spans="1:7" x14ac:dyDescent="0.2">
      <c r="A135" t="s">
        <v>233</v>
      </c>
      <c r="B135" s="32" t="s">
        <v>234</v>
      </c>
      <c r="C135" s="95">
        <f>'DOE25'!L263</f>
        <v>103696.88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60024.98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-24.980000000003201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456143.75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116947.42</v>
      </c>
    </row>
    <row r="145" spans="1:9" ht="12.75" thickTop="1" thickBot="1" x14ac:dyDescent="0.25">
      <c r="A145" s="33" t="s">
        <v>244</v>
      </c>
      <c r="C145" s="86">
        <f>(C115+C128+C144)</f>
        <v>19787997.749999996</v>
      </c>
      <c r="D145" s="86">
        <f>(D115+D128+D144)</f>
        <v>613395.67000000004</v>
      </c>
      <c r="E145" s="86">
        <f>(E115+E128+E144)</f>
        <v>1155915.21</v>
      </c>
      <c r="F145" s="86">
        <f>(F115+F128+F144)</f>
        <v>0</v>
      </c>
      <c r="G145" s="86">
        <f>(G115+G128+G144)</f>
        <v>116947.42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2">
        <f>'DOE25'!F490</f>
        <v>15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28</v>
      </c>
      <c r="B152" s="151" t="str">
        <f>'DOE25'!F491</f>
        <v>07/10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29</v>
      </c>
      <c r="B153" s="151" t="str">
        <f>'DOE25'!F492</f>
        <v>01/26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2657078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2125662.38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2125662.38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177138.54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177138.54</v>
      </c>
    </row>
    <row r="159" spans="1:9" x14ac:dyDescent="0.2">
      <c r="A159" s="22" t="s">
        <v>35</v>
      </c>
      <c r="B159" s="137">
        <f>'DOE25'!F498</f>
        <v>1948523.8399999999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1948523.8399999999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1948523.8399999999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1948523.8399999999</v>
      </c>
    </row>
    <row r="162" spans="1:7" x14ac:dyDescent="0.2">
      <c r="A162" s="22" t="s">
        <v>38</v>
      </c>
      <c r="B162" s="137">
        <f>'DOE25'!F501</f>
        <v>177138.54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177138.54</v>
      </c>
    </row>
    <row r="163" spans="1:7" x14ac:dyDescent="0.2">
      <c r="A163" s="22" t="s">
        <v>39</v>
      </c>
      <c r="B163" s="137">
        <f>'DOE25'!F502</f>
        <v>105494.85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105494.85</v>
      </c>
    </row>
    <row r="164" spans="1:7" x14ac:dyDescent="0.2">
      <c r="A164" s="22" t="s">
        <v>246</v>
      </c>
      <c r="B164" s="137">
        <f>'DOE25'!F503</f>
        <v>282633.39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282633.39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92" t="s">
        <v>740</v>
      </c>
      <c r="B1" s="292"/>
      <c r="C1" s="292"/>
      <c r="D1" s="292"/>
    </row>
    <row r="2" spans="1:4" x14ac:dyDescent="0.2">
      <c r="A2" s="185" t="s">
        <v>717</v>
      </c>
      <c r="B2" s="184" t="str">
        <f>'DOE25'!A2</f>
        <v>SAU#4 Newfound Area School District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16471</v>
      </c>
    </row>
    <row r="5" spans="1:4" x14ac:dyDescent="0.2">
      <c r="B5" t="s">
        <v>704</v>
      </c>
      <c r="C5" s="177">
        <f>IF('DOE25'!G665+'DOE25'!G670=0,0,ROUND('DOE25'!G672,0))</f>
        <v>15521</v>
      </c>
    </row>
    <row r="6" spans="1:4" x14ac:dyDescent="0.2">
      <c r="B6" t="s">
        <v>62</v>
      </c>
      <c r="C6" s="177">
        <f>IF('DOE25'!H665+'DOE25'!H670=0,0,ROUND('DOE25'!H672,0))</f>
        <v>17427</v>
      </c>
    </row>
    <row r="7" spans="1:4" x14ac:dyDescent="0.2">
      <c r="B7" t="s">
        <v>705</v>
      </c>
      <c r="C7" s="177">
        <f>IF('DOE25'!I665+'DOE25'!I670=0,0,ROUND('DOE25'!I672,0))</f>
        <v>16519</v>
      </c>
    </row>
    <row r="9" spans="1:4" x14ac:dyDescent="0.2">
      <c r="A9" s="185" t="s">
        <v>94</v>
      </c>
      <c r="B9" s="186" t="s">
        <v>909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7601228</v>
      </c>
      <c r="D10" s="180">
        <f>ROUND((C10/$C$28)*100,1)</f>
        <v>36.200000000000003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3328225</v>
      </c>
      <c r="D11" s="180">
        <f>ROUND((C11/$C$28)*100,1)</f>
        <v>15.9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24641</v>
      </c>
      <c r="D12" s="180">
        <f>ROUND((C12/$C$28)*100,1)</f>
        <v>0.1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781145</v>
      </c>
      <c r="D13" s="180">
        <f>ROUND((C13/$C$28)*100,1)</f>
        <v>3.7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2158315</v>
      </c>
      <c r="D15" s="180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1141600</v>
      </c>
      <c r="D16" s="180">
        <f t="shared" si="0"/>
        <v>5.4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1053436</v>
      </c>
      <c r="D17" s="180">
        <f t="shared" si="0"/>
        <v>5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1241641</v>
      </c>
      <c r="D18" s="180">
        <f t="shared" si="0"/>
        <v>5.9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0</v>
      </c>
      <c r="D19" s="180">
        <f t="shared" si="0"/>
        <v>0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1677282</v>
      </c>
      <c r="D20" s="180">
        <f t="shared" si="0"/>
        <v>8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1480256</v>
      </c>
      <c r="D21" s="180">
        <f t="shared" si="0"/>
        <v>7.1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115308</v>
      </c>
      <c r="D25" s="180">
        <f t="shared" si="0"/>
        <v>0.5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380746.44</v>
      </c>
      <c r="D27" s="180">
        <f t="shared" si="0"/>
        <v>1.8</v>
      </c>
    </row>
    <row r="28" spans="1:4" x14ac:dyDescent="0.2">
      <c r="B28" s="185" t="s">
        <v>723</v>
      </c>
      <c r="C28" s="178">
        <f>SUM(C10:C27)</f>
        <v>20983823.440000001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729</v>
      </c>
      <c r="C30" s="178">
        <f>SUM(C28:C29)</f>
        <v>20983823.440000001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177139</v>
      </c>
    </row>
    <row r="34" spans="1:4" x14ac:dyDescent="0.2">
      <c r="A34" s="185" t="s">
        <v>94</v>
      </c>
      <c r="B34" s="186" t="s">
        <v>910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10930547</v>
      </c>
      <c r="D35" s="180">
        <f t="shared" ref="D35:D40" si="1">ROUND((C35/$C$41)*100,1)</f>
        <v>52.2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398095.93000000156</v>
      </c>
      <c r="D36" s="180">
        <f t="shared" si="1"/>
        <v>1.9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7534945</v>
      </c>
      <c r="D37" s="180">
        <f t="shared" si="1"/>
        <v>36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261107</v>
      </c>
      <c r="D38" s="180">
        <f t="shared" si="1"/>
        <v>1.2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1821045</v>
      </c>
      <c r="D39" s="180">
        <f t="shared" si="1"/>
        <v>8.6999999999999993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20945739.93</v>
      </c>
      <c r="D41" s="182">
        <f>SUM(D35:D40)</f>
        <v>100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3" t="s">
        <v>770</v>
      </c>
      <c r="B1" s="304"/>
      <c r="C1" s="304"/>
      <c r="D1" s="304"/>
      <c r="E1" s="304"/>
      <c r="F1" s="304"/>
      <c r="G1" s="304"/>
      <c r="H1" s="304"/>
      <c r="I1" s="304"/>
      <c r="J1" s="211"/>
      <c r="K1" s="211"/>
      <c r="L1" s="211"/>
      <c r="M1" s="212"/>
    </row>
    <row r="2" spans="1:26" ht="12.75" x14ac:dyDescent="0.2">
      <c r="A2" s="309" t="s">
        <v>767</v>
      </c>
      <c r="B2" s="310"/>
      <c r="C2" s="310"/>
      <c r="D2" s="310"/>
      <c r="E2" s="310"/>
      <c r="F2" s="307" t="str">
        <f>'DOE25'!A2</f>
        <v>SAU#4 Newfound Area School District</v>
      </c>
      <c r="G2" s="308"/>
      <c r="H2" s="308"/>
      <c r="I2" s="308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305" t="s">
        <v>771</v>
      </c>
      <c r="D3" s="305"/>
      <c r="E3" s="305"/>
      <c r="F3" s="305"/>
      <c r="G3" s="305"/>
      <c r="H3" s="305"/>
      <c r="I3" s="305"/>
      <c r="J3" s="305"/>
      <c r="K3" s="305"/>
      <c r="L3" s="305"/>
      <c r="M3" s="306"/>
    </row>
    <row r="4" spans="1:26" x14ac:dyDescent="0.2">
      <c r="A4" s="216"/>
      <c r="B4" s="217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6"/>
      <c r="B5" s="217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6"/>
      <c r="B6" s="217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6"/>
      <c r="B7" s="217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6"/>
      <c r="B8" s="217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6"/>
      <c r="B9" s="217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6"/>
      <c r="B10" s="217"/>
      <c r="C10" s="294"/>
      <c r="D10" s="294"/>
      <c r="E10" s="294"/>
      <c r="F10" s="294"/>
      <c r="G10" s="294"/>
      <c r="H10" s="294"/>
      <c r="I10" s="294"/>
      <c r="J10" s="294"/>
      <c r="K10" s="294"/>
      <c r="L10" s="294"/>
      <c r="M10" s="29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6"/>
      <c r="B11" s="217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6"/>
      <c r="B12" s="217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6"/>
      <c r="B13" s="217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6"/>
      <c r="B14" s="217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6"/>
      <c r="B15" s="217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6"/>
      <c r="B16" s="217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6"/>
      <c r="B17" s="217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6"/>
      <c r="B18" s="217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6"/>
      <c r="B19" s="217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6"/>
      <c r="B20" s="217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6"/>
      <c r="B21" s="217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6"/>
      <c r="B22" s="217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6"/>
      <c r="B23" s="217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6"/>
      <c r="B24" s="217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6"/>
      <c r="B25" s="217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6"/>
      <c r="B26" s="217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6"/>
      <c r="B27" s="217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6"/>
      <c r="B28" s="217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6"/>
      <c r="B29" s="217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5"/>
      <c r="N29" s="209"/>
      <c r="O29" s="209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205"/>
      <c r="AB29" s="205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05"/>
      <c r="AO29" s="205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05"/>
      <c r="BB29" s="205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99"/>
      <c r="BN29" s="205"/>
      <c r="BO29" s="205"/>
      <c r="BP29" s="299"/>
      <c r="BQ29" s="299"/>
      <c r="BR29" s="299"/>
      <c r="BS29" s="299"/>
      <c r="BT29" s="299"/>
      <c r="BU29" s="299"/>
      <c r="BV29" s="299"/>
      <c r="BW29" s="299"/>
      <c r="BX29" s="299"/>
      <c r="BY29" s="299"/>
      <c r="BZ29" s="299"/>
      <c r="CA29" s="205"/>
      <c r="CB29" s="205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05"/>
      <c r="CO29" s="205"/>
      <c r="CP29" s="299"/>
      <c r="CQ29" s="299"/>
      <c r="CR29" s="299"/>
      <c r="CS29" s="299"/>
      <c r="CT29" s="299"/>
      <c r="CU29" s="299"/>
      <c r="CV29" s="299"/>
      <c r="CW29" s="299"/>
      <c r="CX29" s="299"/>
      <c r="CY29" s="299"/>
      <c r="CZ29" s="299"/>
      <c r="DA29" s="205"/>
      <c r="DB29" s="205"/>
      <c r="DC29" s="299"/>
      <c r="DD29" s="299"/>
      <c r="DE29" s="299"/>
      <c r="DF29" s="299"/>
      <c r="DG29" s="299"/>
      <c r="DH29" s="299"/>
      <c r="DI29" s="299"/>
      <c r="DJ29" s="299"/>
      <c r="DK29" s="299"/>
      <c r="DL29" s="299"/>
      <c r="DM29" s="299"/>
      <c r="DN29" s="205"/>
      <c r="DO29" s="205"/>
      <c r="DP29" s="299"/>
      <c r="DQ29" s="299"/>
      <c r="DR29" s="299"/>
      <c r="DS29" s="299"/>
      <c r="DT29" s="299"/>
      <c r="DU29" s="299"/>
      <c r="DV29" s="299"/>
      <c r="DW29" s="299"/>
      <c r="DX29" s="299"/>
      <c r="DY29" s="299"/>
      <c r="DZ29" s="299"/>
      <c r="EA29" s="205"/>
      <c r="EB29" s="205"/>
      <c r="EC29" s="299"/>
      <c r="ED29" s="299"/>
      <c r="EE29" s="299"/>
      <c r="EF29" s="299"/>
      <c r="EG29" s="299"/>
      <c r="EH29" s="299"/>
      <c r="EI29" s="299"/>
      <c r="EJ29" s="299"/>
      <c r="EK29" s="299"/>
      <c r="EL29" s="299"/>
      <c r="EM29" s="299"/>
      <c r="EN29" s="205"/>
      <c r="EO29" s="205"/>
      <c r="EP29" s="299"/>
      <c r="EQ29" s="299"/>
      <c r="ER29" s="299"/>
      <c r="ES29" s="299"/>
      <c r="ET29" s="299"/>
      <c r="EU29" s="299"/>
      <c r="EV29" s="299"/>
      <c r="EW29" s="299"/>
      <c r="EX29" s="299"/>
      <c r="EY29" s="299"/>
      <c r="EZ29" s="299"/>
      <c r="FA29" s="205"/>
      <c r="FB29" s="205"/>
      <c r="FC29" s="299"/>
      <c r="FD29" s="299"/>
      <c r="FE29" s="299"/>
      <c r="FF29" s="299"/>
      <c r="FG29" s="299"/>
      <c r="FH29" s="299"/>
      <c r="FI29" s="299"/>
      <c r="FJ29" s="299"/>
      <c r="FK29" s="299"/>
      <c r="FL29" s="299"/>
      <c r="FM29" s="299"/>
      <c r="FN29" s="205"/>
      <c r="FO29" s="205"/>
      <c r="FP29" s="299"/>
      <c r="FQ29" s="299"/>
      <c r="FR29" s="299"/>
      <c r="FS29" s="299"/>
      <c r="FT29" s="299"/>
      <c r="FU29" s="299"/>
      <c r="FV29" s="299"/>
      <c r="FW29" s="299"/>
      <c r="FX29" s="299"/>
      <c r="FY29" s="299"/>
      <c r="FZ29" s="299"/>
      <c r="GA29" s="205"/>
      <c r="GB29" s="205"/>
      <c r="GC29" s="299"/>
      <c r="GD29" s="299"/>
      <c r="GE29" s="299"/>
      <c r="GF29" s="299"/>
      <c r="GG29" s="299"/>
      <c r="GH29" s="299"/>
      <c r="GI29" s="299"/>
      <c r="GJ29" s="299"/>
      <c r="GK29" s="299"/>
      <c r="GL29" s="299"/>
      <c r="GM29" s="299"/>
      <c r="GN29" s="205"/>
      <c r="GO29" s="205"/>
      <c r="GP29" s="299"/>
      <c r="GQ29" s="299"/>
      <c r="GR29" s="299"/>
      <c r="GS29" s="299"/>
      <c r="GT29" s="299"/>
      <c r="GU29" s="299"/>
      <c r="GV29" s="299"/>
      <c r="GW29" s="299"/>
      <c r="GX29" s="299"/>
      <c r="GY29" s="299"/>
      <c r="GZ29" s="299"/>
      <c r="HA29" s="205"/>
      <c r="HB29" s="205"/>
      <c r="HC29" s="299"/>
      <c r="HD29" s="299"/>
      <c r="HE29" s="299"/>
      <c r="HF29" s="299"/>
      <c r="HG29" s="299"/>
      <c r="HH29" s="299"/>
      <c r="HI29" s="299"/>
      <c r="HJ29" s="299"/>
      <c r="HK29" s="299"/>
      <c r="HL29" s="299"/>
      <c r="HM29" s="299"/>
      <c r="HN29" s="205"/>
      <c r="HO29" s="205"/>
      <c r="HP29" s="299"/>
      <c r="HQ29" s="299"/>
      <c r="HR29" s="299"/>
      <c r="HS29" s="299"/>
      <c r="HT29" s="299"/>
      <c r="HU29" s="299"/>
      <c r="HV29" s="299"/>
      <c r="HW29" s="299"/>
      <c r="HX29" s="299"/>
      <c r="HY29" s="299"/>
      <c r="HZ29" s="299"/>
      <c r="IA29" s="205"/>
      <c r="IB29" s="205"/>
      <c r="IC29" s="299"/>
      <c r="ID29" s="299"/>
      <c r="IE29" s="299"/>
      <c r="IF29" s="299"/>
      <c r="IG29" s="299"/>
      <c r="IH29" s="299"/>
      <c r="II29" s="299"/>
      <c r="IJ29" s="299"/>
      <c r="IK29" s="299"/>
      <c r="IL29" s="299"/>
      <c r="IM29" s="299"/>
      <c r="IN29" s="205"/>
      <c r="IO29" s="205"/>
      <c r="IP29" s="299"/>
      <c r="IQ29" s="299"/>
      <c r="IR29" s="299"/>
      <c r="IS29" s="299"/>
      <c r="IT29" s="299"/>
      <c r="IU29" s="299"/>
      <c r="IV29" s="299"/>
    </row>
    <row r="30" spans="1:256" x14ac:dyDescent="0.2">
      <c r="A30" s="216"/>
      <c r="B30" s="217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5"/>
      <c r="N30" s="209"/>
      <c r="O30" s="209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205"/>
      <c r="AB30" s="205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299"/>
      <c r="AN30" s="205"/>
      <c r="AO30" s="205"/>
      <c r="AP30" s="299"/>
      <c r="AQ30" s="299"/>
      <c r="AR30" s="299"/>
      <c r="AS30" s="299"/>
      <c r="AT30" s="299"/>
      <c r="AU30" s="299"/>
      <c r="AV30" s="299"/>
      <c r="AW30" s="299"/>
      <c r="AX30" s="299"/>
      <c r="AY30" s="299"/>
      <c r="AZ30" s="299"/>
      <c r="BA30" s="205"/>
      <c r="BB30" s="205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05"/>
      <c r="BO30" s="205"/>
      <c r="BP30" s="299"/>
      <c r="BQ30" s="299"/>
      <c r="BR30" s="299"/>
      <c r="BS30" s="299"/>
      <c r="BT30" s="299"/>
      <c r="BU30" s="299"/>
      <c r="BV30" s="299"/>
      <c r="BW30" s="299"/>
      <c r="BX30" s="299"/>
      <c r="BY30" s="299"/>
      <c r="BZ30" s="299"/>
      <c r="CA30" s="205"/>
      <c r="CB30" s="205"/>
      <c r="CC30" s="299"/>
      <c r="CD30" s="299"/>
      <c r="CE30" s="299"/>
      <c r="CF30" s="299"/>
      <c r="CG30" s="299"/>
      <c r="CH30" s="299"/>
      <c r="CI30" s="299"/>
      <c r="CJ30" s="299"/>
      <c r="CK30" s="299"/>
      <c r="CL30" s="299"/>
      <c r="CM30" s="299"/>
      <c r="CN30" s="205"/>
      <c r="CO30" s="205"/>
      <c r="CP30" s="299"/>
      <c r="CQ30" s="299"/>
      <c r="CR30" s="299"/>
      <c r="CS30" s="299"/>
      <c r="CT30" s="299"/>
      <c r="CU30" s="299"/>
      <c r="CV30" s="299"/>
      <c r="CW30" s="299"/>
      <c r="CX30" s="299"/>
      <c r="CY30" s="299"/>
      <c r="CZ30" s="299"/>
      <c r="DA30" s="205"/>
      <c r="DB30" s="205"/>
      <c r="DC30" s="299"/>
      <c r="DD30" s="299"/>
      <c r="DE30" s="299"/>
      <c r="DF30" s="299"/>
      <c r="DG30" s="299"/>
      <c r="DH30" s="299"/>
      <c r="DI30" s="299"/>
      <c r="DJ30" s="299"/>
      <c r="DK30" s="299"/>
      <c r="DL30" s="299"/>
      <c r="DM30" s="299"/>
      <c r="DN30" s="205"/>
      <c r="DO30" s="205"/>
      <c r="DP30" s="299"/>
      <c r="DQ30" s="299"/>
      <c r="DR30" s="299"/>
      <c r="DS30" s="299"/>
      <c r="DT30" s="299"/>
      <c r="DU30" s="299"/>
      <c r="DV30" s="299"/>
      <c r="DW30" s="299"/>
      <c r="DX30" s="299"/>
      <c r="DY30" s="299"/>
      <c r="DZ30" s="299"/>
      <c r="EA30" s="205"/>
      <c r="EB30" s="205"/>
      <c r="EC30" s="299"/>
      <c r="ED30" s="299"/>
      <c r="EE30" s="299"/>
      <c r="EF30" s="299"/>
      <c r="EG30" s="299"/>
      <c r="EH30" s="299"/>
      <c r="EI30" s="299"/>
      <c r="EJ30" s="299"/>
      <c r="EK30" s="299"/>
      <c r="EL30" s="299"/>
      <c r="EM30" s="299"/>
      <c r="EN30" s="205"/>
      <c r="EO30" s="205"/>
      <c r="EP30" s="299"/>
      <c r="EQ30" s="299"/>
      <c r="ER30" s="299"/>
      <c r="ES30" s="299"/>
      <c r="ET30" s="299"/>
      <c r="EU30" s="299"/>
      <c r="EV30" s="299"/>
      <c r="EW30" s="299"/>
      <c r="EX30" s="299"/>
      <c r="EY30" s="299"/>
      <c r="EZ30" s="299"/>
      <c r="FA30" s="205"/>
      <c r="FB30" s="205"/>
      <c r="FC30" s="299"/>
      <c r="FD30" s="299"/>
      <c r="FE30" s="299"/>
      <c r="FF30" s="299"/>
      <c r="FG30" s="299"/>
      <c r="FH30" s="299"/>
      <c r="FI30" s="299"/>
      <c r="FJ30" s="299"/>
      <c r="FK30" s="299"/>
      <c r="FL30" s="299"/>
      <c r="FM30" s="299"/>
      <c r="FN30" s="205"/>
      <c r="FO30" s="205"/>
      <c r="FP30" s="299"/>
      <c r="FQ30" s="299"/>
      <c r="FR30" s="299"/>
      <c r="FS30" s="299"/>
      <c r="FT30" s="299"/>
      <c r="FU30" s="299"/>
      <c r="FV30" s="299"/>
      <c r="FW30" s="299"/>
      <c r="FX30" s="299"/>
      <c r="FY30" s="299"/>
      <c r="FZ30" s="299"/>
      <c r="GA30" s="205"/>
      <c r="GB30" s="205"/>
      <c r="GC30" s="299"/>
      <c r="GD30" s="299"/>
      <c r="GE30" s="299"/>
      <c r="GF30" s="299"/>
      <c r="GG30" s="299"/>
      <c r="GH30" s="299"/>
      <c r="GI30" s="299"/>
      <c r="GJ30" s="299"/>
      <c r="GK30" s="299"/>
      <c r="GL30" s="299"/>
      <c r="GM30" s="299"/>
      <c r="GN30" s="205"/>
      <c r="GO30" s="205"/>
      <c r="GP30" s="299"/>
      <c r="GQ30" s="299"/>
      <c r="GR30" s="299"/>
      <c r="GS30" s="299"/>
      <c r="GT30" s="299"/>
      <c r="GU30" s="299"/>
      <c r="GV30" s="299"/>
      <c r="GW30" s="299"/>
      <c r="GX30" s="299"/>
      <c r="GY30" s="299"/>
      <c r="GZ30" s="299"/>
      <c r="HA30" s="205"/>
      <c r="HB30" s="205"/>
      <c r="HC30" s="299"/>
      <c r="HD30" s="299"/>
      <c r="HE30" s="299"/>
      <c r="HF30" s="299"/>
      <c r="HG30" s="299"/>
      <c r="HH30" s="299"/>
      <c r="HI30" s="299"/>
      <c r="HJ30" s="299"/>
      <c r="HK30" s="299"/>
      <c r="HL30" s="299"/>
      <c r="HM30" s="299"/>
      <c r="HN30" s="205"/>
      <c r="HO30" s="205"/>
      <c r="HP30" s="299"/>
      <c r="HQ30" s="299"/>
      <c r="HR30" s="299"/>
      <c r="HS30" s="299"/>
      <c r="HT30" s="299"/>
      <c r="HU30" s="299"/>
      <c r="HV30" s="299"/>
      <c r="HW30" s="299"/>
      <c r="HX30" s="299"/>
      <c r="HY30" s="299"/>
      <c r="HZ30" s="299"/>
      <c r="IA30" s="205"/>
      <c r="IB30" s="205"/>
      <c r="IC30" s="299"/>
      <c r="ID30" s="299"/>
      <c r="IE30" s="299"/>
      <c r="IF30" s="299"/>
      <c r="IG30" s="299"/>
      <c r="IH30" s="299"/>
      <c r="II30" s="299"/>
      <c r="IJ30" s="299"/>
      <c r="IK30" s="299"/>
      <c r="IL30" s="299"/>
      <c r="IM30" s="299"/>
      <c r="IN30" s="205"/>
      <c r="IO30" s="205"/>
      <c r="IP30" s="299"/>
      <c r="IQ30" s="299"/>
      <c r="IR30" s="299"/>
      <c r="IS30" s="299"/>
      <c r="IT30" s="299"/>
      <c r="IU30" s="299"/>
      <c r="IV30" s="299"/>
    </row>
    <row r="31" spans="1:256" x14ac:dyDescent="0.2">
      <c r="A31" s="216"/>
      <c r="B31" s="217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5"/>
      <c r="N31" s="209"/>
      <c r="O31" s="209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205"/>
      <c r="AB31" s="205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05"/>
      <c r="AO31" s="205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05"/>
      <c r="BB31" s="205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99"/>
      <c r="BN31" s="205"/>
      <c r="BO31" s="205"/>
      <c r="BP31" s="299"/>
      <c r="BQ31" s="299"/>
      <c r="BR31" s="299"/>
      <c r="BS31" s="299"/>
      <c r="BT31" s="299"/>
      <c r="BU31" s="299"/>
      <c r="BV31" s="299"/>
      <c r="BW31" s="299"/>
      <c r="BX31" s="299"/>
      <c r="BY31" s="299"/>
      <c r="BZ31" s="299"/>
      <c r="CA31" s="205"/>
      <c r="CB31" s="205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05"/>
      <c r="CO31" s="205"/>
      <c r="CP31" s="299"/>
      <c r="CQ31" s="299"/>
      <c r="CR31" s="299"/>
      <c r="CS31" s="299"/>
      <c r="CT31" s="299"/>
      <c r="CU31" s="299"/>
      <c r="CV31" s="299"/>
      <c r="CW31" s="299"/>
      <c r="CX31" s="299"/>
      <c r="CY31" s="299"/>
      <c r="CZ31" s="299"/>
      <c r="DA31" s="205"/>
      <c r="DB31" s="205"/>
      <c r="DC31" s="299"/>
      <c r="DD31" s="299"/>
      <c r="DE31" s="299"/>
      <c r="DF31" s="299"/>
      <c r="DG31" s="299"/>
      <c r="DH31" s="299"/>
      <c r="DI31" s="299"/>
      <c r="DJ31" s="299"/>
      <c r="DK31" s="299"/>
      <c r="DL31" s="299"/>
      <c r="DM31" s="299"/>
      <c r="DN31" s="205"/>
      <c r="DO31" s="205"/>
      <c r="DP31" s="299"/>
      <c r="DQ31" s="299"/>
      <c r="DR31" s="299"/>
      <c r="DS31" s="299"/>
      <c r="DT31" s="299"/>
      <c r="DU31" s="299"/>
      <c r="DV31" s="299"/>
      <c r="DW31" s="299"/>
      <c r="DX31" s="299"/>
      <c r="DY31" s="299"/>
      <c r="DZ31" s="299"/>
      <c r="EA31" s="205"/>
      <c r="EB31" s="205"/>
      <c r="EC31" s="299"/>
      <c r="ED31" s="299"/>
      <c r="EE31" s="299"/>
      <c r="EF31" s="299"/>
      <c r="EG31" s="299"/>
      <c r="EH31" s="299"/>
      <c r="EI31" s="299"/>
      <c r="EJ31" s="299"/>
      <c r="EK31" s="299"/>
      <c r="EL31" s="299"/>
      <c r="EM31" s="299"/>
      <c r="EN31" s="205"/>
      <c r="EO31" s="205"/>
      <c r="EP31" s="299"/>
      <c r="EQ31" s="299"/>
      <c r="ER31" s="299"/>
      <c r="ES31" s="299"/>
      <c r="ET31" s="299"/>
      <c r="EU31" s="299"/>
      <c r="EV31" s="299"/>
      <c r="EW31" s="299"/>
      <c r="EX31" s="299"/>
      <c r="EY31" s="299"/>
      <c r="EZ31" s="299"/>
      <c r="FA31" s="205"/>
      <c r="FB31" s="205"/>
      <c r="FC31" s="299"/>
      <c r="FD31" s="299"/>
      <c r="FE31" s="299"/>
      <c r="FF31" s="299"/>
      <c r="FG31" s="299"/>
      <c r="FH31" s="299"/>
      <c r="FI31" s="299"/>
      <c r="FJ31" s="299"/>
      <c r="FK31" s="299"/>
      <c r="FL31" s="299"/>
      <c r="FM31" s="299"/>
      <c r="FN31" s="205"/>
      <c r="FO31" s="205"/>
      <c r="FP31" s="299"/>
      <c r="FQ31" s="299"/>
      <c r="FR31" s="299"/>
      <c r="FS31" s="299"/>
      <c r="FT31" s="299"/>
      <c r="FU31" s="299"/>
      <c r="FV31" s="299"/>
      <c r="FW31" s="299"/>
      <c r="FX31" s="299"/>
      <c r="FY31" s="299"/>
      <c r="FZ31" s="299"/>
      <c r="GA31" s="205"/>
      <c r="GB31" s="205"/>
      <c r="GC31" s="299"/>
      <c r="GD31" s="299"/>
      <c r="GE31" s="299"/>
      <c r="GF31" s="299"/>
      <c r="GG31" s="299"/>
      <c r="GH31" s="299"/>
      <c r="GI31" s="299"/>
      <c r="GJ31" s="299"/>
      <c r="GK31" s="299"/>
      <c r="GL31" s="299"/>
      <c r="GM31" s="299"/>
      <c r="GN31" s="205"/>
      <c r="GO31" s="205"/>
      <c r="GP31" s="299"/>
      <c r="GQ31" s="299"/>
      <c r="GR31" s="299"/>
      <c r="GS31" s="299"/>
      <c r="GT31" s="299"/>
      <c r="GU31" s="299"/>
      <c r="GV31" s="299"/>
      <c r="GW31" s="299"/>
      <c r="GX31" s="299"/>
      <c r="GY31" s="299"/>
      <c r="GZ31" s="299"/>
      <c r="HA31" s="205"/>
      <c r="HB31" s="205"/>
      <c r="HC31" s="299"/>
      <c r="HD31" s="299"/>
      <c r="HE31" s="299"/>
      <c r="HF31" s="299"/>
      <c r="HG31" s="299"/>
      <c r="HH31" s="299"/>
      <c r="HI31" s="299"/>
      <c r="HJ31" s="299"/>
      <c r="HK31" s="299"/>
      <c r="HL31" s="299"/>
      <c r="HM31" s="299"/>
      <c r="HN31" s="205"/>
      <c r="HO31" s="205"/>
      <c r="HP31" s="299"/>
      <c r="HQ31" s="299"/>
      <c r="HR31" s="299"/>
      <c r="HS31" s="299"/>
      <c r="HT31" s="299"/>
      <c r="HU31" s="299"/>
      <c r="HV31" s="299"/>
      <c r="HW31" s="299"/>
      <c r="HX31" s="299"/>
      <c r="HY31" s="299"/>
      <c r="HZ31" s="299"/>
      <c r="IA31" s="205"/>
      <c r="IB31" s="205"/>
      <c r="IC31" s="299"/>
      <c r="ID31" s="299"/>
      <c r="IE31" s="299"/>
      <c r="IF31" s="299"/>
      <c r="IG31" s="299"/>
      <c r="IH31" s="299"/>
      <c r="II31" s="299"/>
      <c r="IJ31" s="299"/>
      <c r="IK31" s="299"/>
      <c r="IL31" s="299"/>
      <c r="IM31" s="299"/>
      <c r="IN31" s="205"/>
      <c r="IO31" s="205"/>
      <c r="IP31" s="299"/>
      <c r="IQ31" s="299"/>
      <c r="IR31" s="299"/>
      <c r="IS31" s="299"/>
      <c r="IT31" s="299"/>
      <c r="IU31" s="299"/>
      <c r="IV31" s="299"/>
    </row>
    <row r="32" spans="1:256" x14ac:dyDescent="0.2">
      <c r="A32" s="216"/>
      <c r="B32" s="217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5"/>
      <c r="N32" s="221"/>
      <c r="O32" s="22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2"/>
      <c r="AA32" s="216"/>
      <c r="AB32" s="217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5"/>
      <c r="AN32" s="216"/>
      <c r="AO32" s="217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5"/>
      <c r="BA32" s="216"/>
      <c r="BB32" s="217"/>
      <c r="BC32" s="294"/>
      <c r="BD32" s="294"/>
      <c r="BE32" s="294"/>
      <c r="BF32" s="294"/>
      <c r="BG32" s="294"/>
      <c r="BH32" s="294"/>
      <c r="BI32" s="294"/>
      <c r="BJ32" s="294"/>
      <c r="BK32" s="294"/>
      <c r="BL32" s="294"/>
      <c r="BM32" s="295"/>
      <c r="BN32" s="216"/>
      <c r="BO32" s="217"/>
      <c r="BP32" s="294"/>
      <c r="BQ32" s="294"/>
      <c r="BR32" s="294"/>
      <c r="BS32" s="294"/>
      <c r="BT32" s="294"/>
      <c r="BU32" s="294"/>
      <c r="BV32" s="294"/>
      <c r="BW32" s="294"/>
      <c r="BX32" s="294"/>
      <c r="BY32" s="294"/>
      <c r="BZ32" s="295"/>
      <c r="CA32" s="216"/>
      <c r="CB32" s="217"/>
      <c r="CC32" s="294"/>
      <c r="CD32" s="294"/>
      <c r="CE32" s="294"/>
      <c r="CF32" s="294"/>
      <c r="CG32" s="294"/>
      <c r="CH32" s="294"/>
      <c r="CI32" s="294"/>
      <c r="CJ32" s="294"/>
      <c r="CK32" s="294"/>
      <c r="CL32" s="294"/>
      <c r="CM32" s="295"/>
      <c r="CN32" s="216"/>
      <c r="CO32" s="217"/>
      <c r="CP32" s="294"/>
      <c r="CQ32" s="294"/>
      <c r="CR32" s="294"/>
      <c r="CS32" s="294"/>
      <c r="CT32" s="294"/>
      <c r="CU32" s="294"/>
      <c r="CV32" s="294"/>
      <c r="CW32" s="294"/>
      <c r="CX32" s="294"/>
      <c r="CY32" s="294"/>
      <c r="CZ32" s="295"/>
      <c r="DA32" s="216"/>
      <c r="DB32" s="217"/>
      <c r="DC32" s="294"/>
      <c r="DD32" s="294"/>
      <c r="DE32" s="294"/>
      <c r="DF32" s="294"/>
      <c r="DG32" s="294"/>
      <c r="DH32" s="294"/>
      <c r="DI32" s="294"/>
      <c r="DJ32" s="294"/>
      <c r="DK32" s="294"/>
      <c r="DL32" s="294"/>
      <c r="DM32" s="295"/>
      <c r="DN32" s="216"/>
      <c r="DO32" s="217"/>
      <c r="DP32" s="294"/>
      <c r="DQ32" s="294"/>
      <c r="DR32" s="294"/>
      <c r="DS32" s="294"/>
      <c r="DT32" s="294"/>
      <c r="DU32" s="294"/>
      <c r="DV32" s="294"/>
      <c r="DW32" s="294"/>
      <c r="DX32" s="294"/>
      <c r="DY32" s="294"/>
      <c r="DZ32" s="295"/>
      <c r="EA32" s="216"/>
      <c r="EB32" s="217"/>
      <c r="EC32" s="294"/>
      <c r="ED32" s="294"/>
      <c r="EE32" s="294"/>
      <c r="EF32" s="294"/>
      <c r="EG32" s="294"/>
      <c r="EH32" s="294"/>
      <c r="EI32" s="294"/>
      <c r="EJ32" s="294"/>
      <c r="EK32" s="294"/>
      <c r="EL32" s="294"/>
      <c r="EM32" s="295"/>
      <c r="EN32" s="216"/>
      <c r="EO32" s="217"/>
      <c r="EP32" s="294"/>
      <c r="EQ32" s="294"/>
      <c r="ER32" s="294"/>
      <c r="ES32" s="294"/>
      <c r="ET32" s="294"/>
      <c r="EU32" s="294"/>
      <c r="EV32" s="294"/>
      <c r="EW32" s="294"/>
      <c r="EX32" s="294"/>
      <c r="EY32" s="294"/>
      <c r="EZ32" s="295"/>
      <c r="FA32" s="216"/>
      <c r="FB32" s="217"/>
      <c r="FC32" s="294"/>
      <c r="FD32" s="294"/>
      <c r="FE32" s="294"/>
      <c r="FF32" s="294"/>
      <c r="FG32" s="294"/>
      <c r="FH32" s="294"/>
      <c r="FI32" s="294"/>
      <c r="FJ32" s="294"/>
      <c r="FK32" s="294"/>
      <c r="FL32" s="294"/>
      <c r="FM32" s="295"/>
      <c r="FN32" s="216"/>
      <c r="FO32" s="217"/>
      <c r="FP32" s="294"/>
      <c r="FQ32" s="294"/>
      <c r="FR32" s="294"/>
      <c r="FS32" s="294"/>
      <c r="FT32" s="294"/>
      <c r="FU32" s="294"/>
      <c r="FV32" s="294"/>
      <c r="FW32" s="294"/>
      <c r="FX32" s="294"/>
      <c r="FY32" s="294"/>
      <c r="FZ32" s="295"/>
      <c r="GA32" s="216"/>
      <c r="GB32" s="217"/>
      <c r="GC32" s="294"/>
      <c r="GD32" s="294"/>
      <c r="GE32" s="294"/>
      <c r="GF32" s="294"/>
      <c r="GG32" s="294"/>
      <c r="GH32" s="294"/>
      <c r="GI32" s="294"/>
      <c r="GJ32" s="294"/>
      <c r="GK32" s="294"/>
      <c r="GL32" s="294"/>
      <c r="GM32" s="295"/>
      <c r="GN32" s="216"/>
      <c r="GO32" s="217"/>
      <c r="GP32" s="294"/>
      <c r="GQ32" s="294"/>
      <c r="GR32" s="294"/>
      <c r="GS32" s="294"/>
      <c r="GT32" s="294"/>
      <c r="GU32" s="294"/>
      <c r="GV32" s="294"/>
      <c r="GW32" s="294"/>
      <c r="GX32" s="294"/>
      <c r="GY32" s="294"/>
      <c r="GZ32" s="295"/>
      <c r="HA32" s="216"/>
      <c r="HB32" s="217"/>
      <c r="HC32" s="294"/>
      <c r="HD32" s="294"/>
      <c r="HE32" s="294"/>
      <c r="HF32" s="294"/>
      <c r="HG32" s="294"/>
      <c r="HH32" s="294"/>
      <c r="HI32" s="294"/>
      <c r="HJ32" s="294"/>
      <c r="HK32" s="294"/>
      <c r="HL32" s="294"/>
      <c r="HM32" s="295"/>
      <c r="HN32" s="216"/>
      <c r="HO32" s="217"/>
      <c r="HP32" s="294"/>
      <c r="HQ32" s="294"/>
      <c r="HR32" s="294"/>
      <c r="HS32" s="294"/>
      <c r="HT32" s="294"/>
      <c r="HU32" s="294"/>
      <c r="HV32" s="294"/>
      <c r="HW32" s="294"/>
      <c r="HX32" s="294"/>
      <c r="HY32" s="294"/>
      <c r="HZ32" s="295"/>
      <c r="IA32" s="216"/>
      <c r="IB32" s="217"/>
      <c r="IC32" s="294"/>
      <c r="ID32" s="294"/>
      <c r="IE32" s="294"/>
      <c r="IF32" s="294"/>
      <c r="IG32" s="294"/>
      <c r="IH32" s="294"/>
      <c r="II32" s="294"/>
      <c r="IJ32" s="294"/>
      <c r="IK32" s="294"/>
      <c r="IL32" s="294"/>
      <c r="IM32" s="295"/>
      <c r="IN32" s="216"/>
      <c r="IO32" s="217"/>
      <c r="IP32" s="294"/>
      <c r="IQ32" s="294"/>
      <c r="IR32" s="294"/>
      <c r="IS32" s="294"/>
      <c r="IT32" s="294"/>
      <c r="IU32" s="294"/>
      <c r="IV32" s="294"/>
    </row>
    <row r="33" spans="1:256" x14ac:dyDescent="0.2">
      <c r="A33" s="216"/>
      <c r="B33" s="217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5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5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5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5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5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5"/>
      <c r="N38" s="209"/>
      <c r="O38" s="209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205"/>
      <c r="AB38" s="205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05"/>
      <c r="AO38" s="205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05"/>
      <c r="BB38" s="205"/>
      <c r="BC38" s="299"/>
      <c r="BD38" s="299"/>
      <c r="BE38" s="299"/>
      <c r="BF38" s="299"/>
      <c r="BG38" s="299"/>
      <c r="BH38" s="299"/>
      <c r="BI38" s="299"/>
      <c r="BJ38" s="299"/>
      <c r="BK38" s="299"/>
      <c r="BL38" s="299"/>
      <c r="BM38" s="299"/>
      <c r="BN38" s="205"/>
      <c r="BO38" s="205"/>
      <c r="BP38" s="299"/>
      <c r="BQ38" s="299"/>
      <c r="BR38" s="299"/>
      <c r="BS38" s="299"/>
      <c r="BT38" s="299"/>
      <c r="BU38" s="299"/>
      <c r="BV38" s="299"/>
      <c r="BW38" s="299"/>
      <c r="BX38" s="299"/>
      <c r="BY38" s="299"/>
      <c r="BZ38" s="299"/>
      <c r="CA38" s="205"/>
      <c r="CB38" s="205"/>
      <c r="CC38" s="299"/>
      <c r="CD38" s="299"/>
      <c r="CE38" s="299"/>
      <c r="CF38" s="299"/>
      <c r="CG38" s="299"/>
      <c r="CH38" s="299"/>
      <c r="CI38" s="299"/>
      <c r="CJ38" s="299"/>
      <c r="CK38" s="299"/>
      <c r="CL38" s="299"/>
      <c r="CM38" s="299"/>
      <c r="CN38" s="205"/>
      <c r="CO38" s="205"/>
      <c r="CP38" s="299"/>
      <c r="CQ38" s="299"/>
      <c r="CR38" s="299"/>
      <c r="CS38" s="299"/>
      <c r="CT38" s="299"/>
      <c r="CU38" s="299"/>
      <c r="CV38" s="299"/>
      <c r="CW38" s="299"/>
      <c r="CX38" s="299"/>
      <c r="CY38" s="299"/>
      <c r="CZ38" s="299"/>
      <c r="DA38" s="205"/>
      <c r="DB38" s="205"/>
      <c r="DC38" s="299"/>
      <c r="DD38" s="299"/>
      <c r="DE38" s="299"/>
      <c r="DF38" s="299"/>
      <c r="DG38" s="299"/>
      <c r="DH38" s="299"/>
      <c r="DI38" s="299"/>
      <c r="DJ38" s="299"/>
      <c r="DK38" s="299"/>
      <c r="DL38" s="299"/>
      <c r="DM38" s="299"/>
      <c r="DN38" s="205"/>
      <c r="DO38" s="205"/>
      <c r="DP38" s="299"/>
      <c r="DQ38" s="299"/>
      <c r="DR38" s="299"/>
      <c r="DS38" s="299"/>
      <c r="DT38" s="299"/>
      <c r="DU38" s="299"/>
      <c r="DV38" s="299"/>
      <c r="DW38" s="299"/>
      <c r="DX38" s="299"/>
      <c r="DY38" s="299"/>
      <c r="DZ38" s="299"/>
      <c r="EA38" s="205"/>
      <c r="EB38" s="205"/>
      <c r="EC38" s="299"/>
      <c r="ED38" s="299"/>
      <c r="EE38" s="299"/>
      <c r="EF38" s="299"/>
      <c r="EG38" s="299"/>
      <c r="EH38" s="299"/>
      <c r="EI38" s="299"/>
      <c r="EJ38" s="299"/>
      <c r="EK38" s="299"/>
      <c r="EL38" s="299"/>
      <c r="EM38" s="299"/>
      <c r="EN38" s="205"/>
      <c r="EO38" s="205"/>
      <c r="EP38" s="299"/>
      <c r="EQ38" s="299"/>
      <c r="ER38" s="299"/>
      <c r="ES38" s="299"/>
      <c r="ET38" s="299"/>
      <c r="EU38" s="299"/>
      <c r="EV38" s="299"/>
      <c r="EW38" s="299"/>
      <c r="EX38" s="299"/>
      <c r="EY38" s="299"/>
      <c r="EZ38" s="299"/>
      <c r="FA38" s="205"/>
      <c r="FB38" s="205"/>
      <c r="FC38" s="299"/>
      <c r="FD38" s="299"/>
      <c r="FE38" s="299"/>
      <c r="FF38" s="299"/>
      <c r="FG38" s="299"/>
      <c r="FH38" s="299"/>
      <c r="FI38" s="299"/>
      <c r="FJ38" s="299"/>
      <c r="FK38" s="299"/>
      <c r="FL38" s="299"/>
      <c r="FM38" s="299"/>
      <c r="FN38" s="205"/>
      <c r="FO38" s="205"/>
      <c r="FP38" s="299"/>
      <c r="FQ38" s="299"/>
      <c r="FR38" s="299"/>
      <c r="FS38" s="299"/>
      <c r="FT38" s="299"/>
      <c r="FU38" s="299"/>
      <c r="FV38" s="299"/>
      <c r="FW38" s="299"/>
      <c r="FX38" s="299"/>
      <c r="FY38" s="299"/>
      <c r="FZ38" s="299"/>
      <c r="GA38" s="205"/>
      <c r="GB38" s="205"/>
      <c r="GC38" s="299"/>
      <c r="GD38" s="299"/>
      <c r="GE38" s="299"/>
      <c r="GF38" s="299"/>
      <c r="GG38" s="299"/>
      <c r="GH38" s="299"/>
      <c r="GI38" s="299"/>
      <c r="GJ38" s="299"/>
      <c r="GK38" s="299"/>
      <c r="GL38" s="299"/>
      <c r="GM38" s="299"/>
      <c r="GN38" s="205"/>
      <c r="GO38" s="205"/>
      <c r="GP38" s="299"/>
      <c r="GQ38" s="299"/>
      <c r="GR38" s="299"/>
      <c r="GS38" s="299"/>
      <c r="GT38" s="299"/>
      <c r="GU38" s="299"/>
      <c r="GV38" s="299"/>
      <c r="GW38" s="299"/>
      <c r="GX38" s="299"/>
      <c r="GY38" s="299"/>
      <c r="GZ38" s="299"/>
      <c r="HA38" s="205"/>
      <c r="HB38" s="205"/>
      <c r="HC38" s="299"/>
      <c r="HD38" s="299"/>
      <c r="HE38" s="299"/>
      <c r="HF38" s="299"/>
      <c r="HG38" s="299"/>
      <c r="HH38" s="299"/>
      <c r="HI38" s="299"/>
      <c r="HJ38" s="299"/>
      <c r="HK38" s="299"/>
      <c r="HL38" s="299"/>
      <c r="HM38" s="299"/>
      <c r="HN38" s="205"/>
      <c r="HO38" s="205"/>
      <c r="HP38" s="299"/>
      <c r="HQ38" s="299"/>
      <c r="HR38" s="299"/>
      <c r="HS38" s="299"/>
      <c r="HT38" s="299"/>
      <c r="HU38" s="299"/>
      <c r="HV38" s="299"/>
      <c r="HW38" s="299"/>
      <c r="HX38" s="299"/>
      <c r="HY38" s="299"/>
      <c r="HZ38" s="299"/>
      <c r="IA38" s="205"/>
      <c r="IB38" s="205"/>
      <c r="IC38" s="299"/>
      <c r="ID38" s="299"/>
      <c r="IE38" s="299"/>
      <c r="IF38" s="299"/>
      <c r="IG38" s="299"/>
      <c r="IH38" s="299"/>
      <c r="II38" s="299"/>
      <c r="IJ38" s="299"/>
      <c r="IK38" s="299"/>
      <c r="IL38" s="299"/>
      <c r="IM38" s="299"/>
      <c r="IN38" s="205"/>
      <c r="IO38" s="205"/>
      <c r="IP38" s="299"/>
      <c r="IQ38" s="299"/>
      <c r="IR38" s="299"/>
      <c r="IS38" s="299"/>
      <c r="IT38" s="299"/>
      <c r="IU38" s="299"/>
      <c r="IV38" s="299"/>
    </row>
    <row r="39" spans="1:256" x14ac:dyDescent="0.2">
      <c r="A39" s="216"/>
      <c r="B39" s="217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5"/>
      <c r="N39" s="209"/>
      <c r="O39" s="209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05"/>
      <c r="AB39" s="205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05"/>
      <c r="AO39" s="205"/>
      <c r="AP39" s="299"/>
      <c r="AQ39" s="299"/>
      <c r="AR39" s="299"/>
      <c r="AS39" s="299"/>
      <c r="AT39" s="299"/>
      <c r="AU39" s="299"/>
      <c r="AV39" s="299"/>
      <c r="AW39" s="299"/>
      <c r="AX39" s="299"/>
      <c r="AY39" s="299"/>
      <c r="AZ39" s="299"/>
      <c r="BA39" s="205"/>
      <c r="BB39" s="205"/>
      <c r="BC39" s="299"/>
      <c r="BD39" s="299"/>
      <c r="BE39" s="299"/>
      <c r="BF39" s="299"/>
      <c r="BG39" s="299"/>
      <c r="BH39" s="299"/>
      <c r="BI39" s="299"/>
      <c r="BJ39" s="299"/>
      <c r="BK39" s="299"/>
      <c r="BL39" s="299"/>
      <c r="BM39" s="299"/>
      <c r="BN39" s="205"/>
      <c r="BO39" s="205"/>
      <c r="BP39" s="299"/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05"/>
      <c r="CB39" s="205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05"/>
      <c r="CO39" s="205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05"/>
      <c r="DB39" s="205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05"/>
      <c r="DO39" s="205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05"/>
      <c r="EB39" s="205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05"/>
      <c r="EO39" s="205"/>
      <c r="EP39" s="299"/>
      <c r="EQ39" s="299"/>
      <c r="ER39" s="299"/>
      <c r="ES39" s="299"/>
      <c r="ET39" s="299"/>
      <c r="EU39" s="299"/>
      <c r="EV39" s="299"/>
      <c r="EW39" s="299"/>
      <c r="EX39" s="299"/>
      <c r="EY39" s="299"/>
      <c r="EZ39" s="299"/>
      <c r="FA39" s="205"/>
      <c r="FB39" s="205"/>
      <c r="FC39" s="299"/>
      <c r="FD39" s="299"/>
      <c r="FE39" s="299"/>
      <c r="FF39" s="299"/>
      <c r="FG39" s="299"/>
      <c r="FH39" s="299"/>
      <c r="FI39" s="299"/>
      <c r="FJ39" s="299"/>
      <c r="FK39" s="299"/>
      <c r="FL39" s="299"/>
      <c r="FM39" s="299"/>
      <c r="FN39" s="205"/>
      <c r="FO39" s="205"/>
      <c r="FP39" s="299"/>
      <c r="FQ39" s="299"/>
      <c r="FR39" s="299"/>
      <c r="FS39" s="299"/>
      <c r="FT39" s="299"/>
      <c r="FU39" s="299"/>
      <c r="FV39" s="299"/>
      <c r="FW39" s="299"/>
      <c r="FX39" s="299"/>
      <c r="FY39" s="299"/>
      <c r="FZ39" s="299"/>
      <c r="GA39" s="205"/>
      <c r="GB39" s="205"/>
      <c r="GC39" s="299"/>
      <c r="GD39" s="299"/>
      <c r="GE39" s="299"/>
      <c r="GF39" s="299"/>
      <c r="GG39" s="299"/>
      <c r="GH39" s="299"/>
      <c r="GI39" s="299"/>
      <c r="GJ39" s="299"/>
      <c r="GK39" s="299"/>
      <c r="GL39" s="299"/>
      <c r="GM39" s="299"/>
      <c r="GN39" s="205"/>
      <c r="GO39" s="205"/>
      <c r="GP39" s="299"/>
      <c r="GQ39" s="299"/>
      <c r="GR39" s="299"/>
      <c r="GS39" s="299"/>
      <c r="GT39" s="299"/>
      <c r="GU39" s="299"/>
      <c r="GV39" s="299"/>
      <c r="GW39" s="299"/>
      <c r="GX39" s="299"/>
      <c r="GY39" s="299"/>
      <c r="GZ39" s="299"/>
      <c r="HA39" s="205"/>
      <c r="HB39" s="205"/>
      <c r="HC39" s="299"/>
      <c r="HD39" s="299"/>
      <c r="HE39" s="299"/>
      <c r="HF39" s="299"/>
      <c r="HG39" s="299"/>
      <c r="HH39" s="299"/>
      <c r="HI39" s="299"/>
      <c r="HJ39" s="299"/>
      <c r="HK39" s="299"/>
      <c r="HL39" s="299"/>
      <c r="HM39" s="299"/>
      <c r="HN39" s="205"/>
      <c r="HO39" s="205"/>
      <c r="HP39" s="299"/>
      <c r="HQ39" s="299"/>
      <c r="HR39" s="299"/>
      <c r="HS39" s="299"/>
      <c r="HT39" s="299"/>
      <c r="HU39" s="299"/>
      <c r="HV39" s="299"/>
      <c r="HW39" s="299"/>
      <c r="HX39" s="299"/>
      <c r="HY39" s="299"/>
      <c r="HZ39" s="299"/>
      <c r="IA39" s="205"/>
      <c r="IB39" s="205"/>
      <c r="IC39" s="299"/>
      <c r="ID39" s="299"/>
      <c r="IE39" s="299"/>
      <c r="IF39" s="299"/>
      <c r="IG39" s="299"/>
      <c r="IH39" s="299"/>
      <c r="II39" s="299"/>
      <c r="IJ39" s="299"/>
      <c r="IK39" s="299"/>
      <c r="IL39" s="299"/>
      <c r="IM39" s="299"/>
      <c r="IN39" s="205"/>
      <c r="IO39" s="205"/>
      <c r="IP39" s="299"/>
      <c r="IQ39" s="299"/>
      <c r="IR39" s="299"/>
      <c r="IS39" s="299"/>
      <c r="IT39" s="299"/>
      <c r="IU39" s="299"/>
      <c r="IV39" s="299"/>
    </row>
    <row r="40" spans="1:256" x14ac:dyDescent="0.2">
      <c r="A40" s="216"/>
      <c r="B40" s="217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5"/>
      <c r="N40" s="209"/>
      <c r="O40" s="209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05"/>
      <c r="AB40" s="205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05"/>
      <c r="AO40" s="205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05"/>
      <c r="BB40" s="205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05"/>
      <c r="BO40" s="205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05"/>
      <c r="CB40" s="205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05"/>
      <c r="CO40" s="205"/>
      <c r="CP40" s="299"/>
      <c r="CQ40" s="299"/>
      <c r="CR40" s="299"/>
      <c r="CS40" s="299"/>
      <c r="CT40" s="299"/>
      <c r="CU40" s="299"/>
      <c r="CV40" s="299"/>
      <c r="CW40" s="299"/>
      <c r="CX40" s="299"/>
      <c r="CY40" s="299"/>
      <c r="CZ40" s="299"/>
      <c r="DA40" s="205"/>
      <c r="DB40" s="205"/>
      <c r="DC40" s="299"/>
      <c r="DD40" s="299"/>
      <c r="DE40" s="299"/>
      <c r="DF40" s="299"/>
      <c r="DG40" s="299"/>
      <c r="DH40" s="299"/>
      <c r="DI40" s="299"/>
      <c r="DJ40" s="299"/>
      <c r="DK40" s="299"/>
      <c r="DL40" s="299"/>
      <c r="DM40" s="299"/>
      <c r="DN40" s="205"/>
      <c r="DO40" s="205"/>
      <c r="DP40" s="299"/>
      <c r="DQ40" s="299"/>
      <c r="DR40" s="299"/>
      <c r="DS40" s="299"/>
      <c r="DT40" s="299"/>
      <c r="DU40" s="299"/>
      <c r="DV40" s="299"/>
      <c r="DW40" s="299"/>
      <c r="DX40" s="299"/>
      <c r="DY40" s="299"/>
      <c r="DZ40" s="299"/>
      <c r="EA40" s="205"/>
      <c r="EB40" s="205"/>
      <c r="EC40" s="299"/>
      <c r="ED40" s="299"/>
      <c r="EE40" s="299"/>
      <c r="EF40" s="299"/>
      <c r="EG40" s="299"/>
      <c r="EH40" s="299"/>
      <c r="EI40" s="299"/>
      <c r="EJ40" s="299"/>
      <c r="EK40" s="299"/>
      <c r="EL40" s="299"/>
      <c r="EM40" s="299"/>
      <c r="EN40" s="205"/>
      <c r="EO40" s="205"/>
      <c r="EP40" s="299"/>
      <c r="EQ40" s="299"/>
      <c r="ER40" s="299"/>
      <c r="ES40" s="299"/>
      <c r="ET40" s="299"/>
      <c r="EU40" s="299"/>
      <c r="EV40" s="299"/>
      <c r="EW40" s="299"/>
      <c r="EX40" s="299"/>
      <c r="EY40" s="299"/>
      <c r="EZ40" s="299"/>
      <c r="FA40" s="205"/>
      <c r="FB40" s="205"/>
      <c r="FC40" s="299"/>
      <c r="FD40" s="299"/>
      <c r="FE40" s="299"/>
      <c r="FF40" s="299"/>
      <c r="FG40" s="299"/>
      <c r="FH40" s="299"/>
      <c r="FI40" s="299"/>
      <c r="FJ40" s="299"/>
      <c r="FK40" s="299"/>
      <c r="FL40" s="299"/>
      <c r="FM40" s="299"/>
      <c r="FN40" s="205"/>
      <c r="FO40" s="205"/>
      <c r="FP40" s="299"/>
      <c r="FQ40" s="299"/>
      <c r="FR40" s="299"/>
      <c r="FS40" s="299"/>
      <c r="FT40" s="299"/>
      <c r="FU40" s="299"/>
      <c r="FV40" s="299"/>
      <c r="FW40" s="299"/>
      <c r="FX40" s="299"/>
      <c r="FY40" s="299"/>
      <c r="FZ40" s="299"/>
      <c r="GA40" s="205"/>
      <c r="GB40" s="205"/>
      <c r="GC40" s="299"/>
      <c r="GD40" s="299"/>
      <c r="GE40" s="299"/>
      <c r="GF40" s="299"/>
      <c r="GG40" s="299"/>
      <c r="GH40" s="299"/>
      <c r="GI40" s="299"/>
      <c r="GJ40" s="299"/>
      <c r="GK40" s="299"/>
      <c r="GL40" s="299"/>
      <c r="GM40" s="299"/>
      <c r="GN40" s="205"/>
      <c r="GO40" s="205"/>
      <c r="GP40" s="299"/>
      <c r="GQ40" s="299"/>
      <c r="GR40" s="299"/>
      <c r="GS40" s="299"/>
      <c r="GT40" s="299"/>
      <c r="GU40" s="299"/>
      <c r="GV40" s="299"/>
      <c r="GW40" s="299"/>
      <c r="GX40" s="299"/>
      <c r="GY40" s="299"/>
      <c r="GZ40" s="299"/>
      <c r="HA40" s="205"/>
      <c r="HB40" s="205"/>
      <c r="HC40" s="299"/>
      <c r="HD40" s="299"/>
      <c r="HE40" s="299"/>
      <c r="HF40" s="299"/>
      <c r="HG40" s="299"/>
      <c r="HH40" s="299"/>
      <c r="HI40" s="299"/>
      <c r="HJ40" s="299"/>
      <c r="HK40" s="299"/>
      <c r="HL40" s="299"/>
      <c r="HM40" s="299"/>
      <c r="HN40" s="205"/>
      <c r="HO40" s="205"/>
      <c r="HP40" s="299"/>
      <c r="HQ40" s="299"/>
      <c r="HR40" s="299"/>
      <c r="HS40" s="299"/>
      <c r="HT40" s="299"/>
      <c r="HU40" s="299"/>
      <c r="HV40" s="299"/>
      <c r="HW40" s="299"/>
      <c r="HX40" s="299"/>
      <c r="HY40" s="299"/>
      <c r="HZ40" s="299"/>
      <c r="IA40" s="205"/>
      <c r="IB40" s="205"/>
      <c r="IC40" s="299"/>
      <c r="ID40" s="299"/>
      <c r="IE40" s="299"/>
      <c r="IF40" s="299"/>
      <c r="IG40" s="299"/>
      <c r="IH40" s="299"/>
      <c r="II40" s="299"/>
      <c r="IJ40" s="299"/>
      <c r="IK40" s="299"/>
      <c r="IL40" s="299"/>
      <c r="IM40" s="299"/>
      <c r="IN40" s="205"/>
      <c r="IO40" s="205"/>
      <c r="IP40" s="299"/>
      <c r="IQ40" s="299"/>
      <c r="IR40" s="299"/>
      <c r="IS40" s="299"/>
      <c r="IT40" s="299"/>
      <c r="IU40" s="299"/>
      <c r="IV40" s="299"/>
    </row>
    <row r="41" spans="1:256" x14ac:dyDescent="0.2">
      <c r="A41" s="216"/>
      <c r="B41" s="217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5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5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5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5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5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5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5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5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5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6"/>
      <c r="B51" s="217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6"/>
      <c r="B52" s="217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6"/>
      <c r="B53" s="217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6"/>
      <c r="B54" s="217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6"/>
      <c r="B55" s="217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6"/>
      <c r="B56" s="217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6"/>
      <c r="B57" s="217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6"/>
      <c r="B58" s="217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6"/>
      <c r="B59" s="217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5"/>
    </row>
    <row r="60" spans="1:256" x14ac:dyDescent="0.2">
      <c r="A60" s="216"/>
      <c r="B60" s="217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5"/>
    </row>
    <row r="61" spans="1:256" x14ac:dyDescent="0.2">
      <c r="A61" s="216"/>
      <c r="B61" s="217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5"/>
    </row>
    <row r="62" spans="1:256" x14ac:dyDescent="0.2">
      <c r="A62" s="216"/>
      <c r="B62" s="217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5"/>
    </row>
    <row r="63" spans="1:256" x14ac:dyDescent="0.2">
      <c r="A63" s="216"/>
      <c r="B63" s="217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5"/>
    </row>
    <row r="64" spans="1:256" x14ac:dyDescent="0.2">
      <c r="A64" s="216"/>
      <c r="B64" s="217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5"/>
    </row>
    <row r="65" spans="1:13" x14ac:dyDescent="0.2">
      <c r="A65" s="216"/>
      <c r="B65" s="217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5"/>
    </row>
    <row r="66" spans="1:13" x14ac:dyDescent="0.2">
      <c r="A66" s="216"/>
      <c r="B66" s="217"/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5"/>
    </row>
    <row r="67" spans="1:13" x14ac:dyDescent="0.2">
      <c r="A67" s="216"/>
      <c r="B67" s="217"/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5"/>
    </row>
    <row r="68" spans="1:13" x14ac:dyDescent="0.2">
      <c r="A68" s="216"/>
      <c r="B68" s="217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5"/>
    </row>
    <row r="69" spans="1:13" x14ac:dyDescent="0.2">
      <c r="A69" s="216"/>
      <c r="B69" s="217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5"/>
    </row>
    <row r="70" spans="1:13" ht="12" thickBot="1" x14ac:dyDescent="0.25">
      <c r="A70" s="218"/>
      <c r="B70" s="219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8" t="s">
        <v>768</v>
      </c>
      <c r="B73" s="208" t="s">
        <v>769</v>
      </c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</row>
    <row r="74" spans="1:13" x14ac:dyDescent="0.2">
      <c r="A74" s="209"/>
      <c r="B74" s="209"/>
      <c r="C74" s="293"/>
      <c r="D74" s="293"/>
      <c r="E74" s="293"/>
      <c r="F74" s="293"/>
      <c r="G74" s="293"/>
      <c r="H74" s="293"/>
      <c r="I74" s="293"/>
      <c r="J74" s="293"/>
      <c r="K74" s="293"/>
      <c r="L74" s="293"/>
      <c r="M74" s="293"/>
    </row>
    <row r="75" spans="1:13" x14ac:dyDescent="0.2">
      <c r="A75" s="209"/>
      <c r="B75" s="209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</row>
    <row r="76" spans="1:13" x14ac:dyDescent="0.2">
      <c r="A76" s="209"/>
      <c r="B76" s="209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</row>
    <row r="77" spans="1:13" x14ac:dyDescent="0.2">
      <c r="A77" s="209"/>
      <c r="B77" s="209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</row>
    <row r="78" spans="1:13" x14ac:dyDescent="0.2">
      <c r="A78" s="209"/>
      <c r="B78" s="209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</row>
    <row r="79" spans="1:13" x14ac:dyDescent="0.2">
      <c r="A79" s="209"/>
      <c r="B79" s="209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</row>
    <row r="80" spans="1:13" x14ac:dyDescent="0.2">
      <c r="A80" s="209"/>
      <c r="B80" s="209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</row>
    <row r="81" spans="1:13" x14ac:dyDescent="0.2">
      <c r="A81" s="209"/>
      <c r="B81" s="209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</row>
    <row r="82" spans="1:13" x14ac:dyDescent="0.2">
      <c r="A82" s="209"/>
      <c r="B82" s="209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</row>
    <row r="83" spans="1:13" x14ac:dyDescent="0.2">
      <c r="A83" s="209"/>
      <c r="B83" s="209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</row>
    <row r="84" spans="1:13" x14ac:dyDescent="0.2">
      <c r="A84" s="209"/>
      <c r="B84" s="209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</row>
    <row r="85" spans="1:13" x14ac:dyDescent="0.2">
      <c r="A85" s="209"/>
      <c r="B85" s="209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</row>
    <row r="86" spans="1:13" x14ac:dyDescent="0.2">
      <c r="A86" s="209"/>
      <c r="B86" s="209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</row>
    <row r="87" spans="1:13" x14ac:dyDescent="0.2">
      <c r="A87" s="209"/>
      <c r="B87" s="209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</row>
    <row r="88" spans="1:13" x14ac:dyDescent="0.2">
      <c r="A88" s="209"/>
      <c r="B88" s="209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</row>
    <row r="89" spans="1:13" x14ac:dyDescent="0.2">
      <c r="A89" s="209"/>
      <c r="B89" s="209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</row>
    <row r="90" spans="1:13" x14ac:dyDescent="0.2">
      <c r="A90" s="209"/>
      <c r="B90" s="209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2015-11-02T17:02:08Z</cp:lastPrinted>
  <dcterms:created xsi:type="dcterms:W3CDTF">1997-12-04T19:04:30Z</dcterms:created>
  <dcterms:modified xsi:type="dcterms:W3CDTF">2015-11-30T13:42:14Z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