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330" windowWidth="12735" windowHeight="61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11" i="13" l="1"/>
  <c r="B20" i="12"/>
  <c r="H255" i="1" l="1"/>
  <c r="C37" i="12" l="1"/>
  <c r="C38" i="12"/>
  <c r="B37" i="12"/>
  <c r="B38" i="12"/>
  <c r="C20" i="12"/>
  <c r="C19" i="12"/>
  <c r="B19" i="12"/>
  <c r="C10" i="12"/>
  <c r="B10" i="12"/>
  <c r="B12" i="12"/>
  <c r="J604" i="1" l="1"/>
  <c r="H595" i="1"/>
  <c r="J591" i="1"/>
  <c r="H244" i="1"/>
  <c r="H208" i="1"/>
  <c r="H604" i="1" l="1"/>
  <c r="G242" i="1" l="1"/>
  <c r="H159" i="1"/>
  <c r="H155" i="1"/>
  <c r="H472" i="1" l="1"/>
  <c r="H468" i="1"/>
  <c r="G97" i="1" l="1"/>
  <c r="G158" i="1"/>
  <c r="F468" i="1"/>
  <c r="G459" i="1"/>
  <c r="F459" i="1"/>
  <c r="G439" i="1"/>
  <c r="F439" i="1"/>
  <c r="H388" i="1"/>
  <c r="H368" i="1" l="1"/>
  <c r="F368" i="1"/>
  <c r="F367" i="1"/>
  <c r="H358" i="1"/>
  <c r="I360" i="1"/>
  <c r="H360" i="1"/>
  <c r="G360" i="1"/>
  <c r="F360" i="1"/>
  <c r="I358" i="1"/>
  <c r="G358" i="1"/>
  <c r="F358" i="1"/>
  <c r="H198" i="1" l="1"/>
  <c r="H234" i="1"/>
  <c r="H207" i="1" l="1"/>
  <c r="F207" i="1"/>
  <c r="G205" i="1" l="1"/>
  <c r="K204" i="1"/>
  <c r="J204" i="1"/>
  <c r="I204" i="1"/>
  <c r="H204" i="1"/>
  <c r="G204" i="1"/>
  <c r="F204" i="1"/>
  <c r="K203" i="1"/>
  <c r="J203" i="1"/>
  <c r="H203" i="1"/>
  <c r="I203" i="1"/>
  <c r="G203" i="1"/>
  <c r="F203" i="1"/>
  <c r="I202" i="1"/>
  <c r="G202" i="1"/>
  <c r="G200" i="1" l="1"/>
  <c r="F198" i="1" l="1"/>
  <c r="G245" i="1"/>
  <c r="F245" i="1"/>
  <c r="J243" i="1"/>
  <c r="I243" i="1"/>
  <c r="H243" i="1"/>
  <c r="G243" i="1"/>
  <c r="F243" i="1"/>
  <c r="G241" i="1"/>
  <c r="F241" i="1"/>
  <c r="K241" i="1"/>
  <c r="J241" i="1"/>
  <c r="I241" i="1"/>
  <c r="H241" i="1"/>
  <c r="J239" i="1"/>
  <c r="I239" i="1"/>
  <c r="H239" i="1"/>
  <c r="G239" i="1"/>
  <c r="F239" i="1"/>
  <c r="G238" i="1"/>
  <c r="I238" i="1"/>
  <c r="H238" i="1"/>
  <c r="F238" i="1"/>
  <c r="K238" i="1"/>
  <c r="G236" i="1"/>
  <c r="F236" i="1"/>
  <c r="K236" i="1"/>
  <c r="I236" i="1"/>
  <c r="H236" i="1"/>
  <c r="I234" i="1"/>
  <c r="G234" i="1"/>
  <c r="F234" i="1"/>
  <c r="J234" i="1"/>
  <c r="K233" i="1"/>
  <c r="J233" i="1"/>
  <c r="I233" i="1"/>
  <c r="H233" i="1"/>
  <c r="G233" i="1"/>
  <c r="F233" i="1"/>
  <c r="G209" i="1"/>
  <c r="F209" i="1"/>
  <c r="G208" i="1"/>
  <c r="F208" i="1"/>
  <c r="J207" i="1"/>
  <c r="I207" i="1"/>
  <c r="G207" i="1"/>
  <c r="F205" i="1"/>
  <c r="K205" i="1"/>
  <c r="J205" i="1"/>
  <c r="I205" i="1"/>
  <c r="H205" i="1"/>
  <c r="K266" i="1" l="1"/>
  <c r="F242" i="1"/>
  <c r="G206" i="1"/>
  <c r="F206" i="1"/>
  <c r="K240" i="1"/>
  <c r="I240" i="1"/>
  <c r="H240" i="1"/>
  <c r="G240" i="1"/>
  <c r="F240" i="1"/>
  <c r="J240" i="1"/>
  <c r="K239" i="1"/>
  <c r="F202" i="1" l="1"/>
  <c r="J198" i="1"/>
  <c r="I198" i="1"/>
  <c r="G198" i="1"/>
  <c r="G197" i="1"/>
  <c r="H202" i="1" l="1"/>
  <c r="J202" i="1"/>
  <c r="F200" i="1"/>
  <c r="K200" i="1"/>
  <c r="I200" i="1"/>
  <c r="H200" i="1"/>
  <c r="J197" i="1"/>
  <c r="I197" i="1"/>
  <c r="H197" i="1"/>
  <c r="F19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2" i="10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D14" i="13" s="1"/>
  <c r="C14" i="13" s="1"/>
  <c r="F15" i="13"/>
  <c r="G15" i="13"/>
  <c r="L208" i="1"/>
  <c r="G649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L282" i="1"/>
  <c r="L283" i="1"/>
  <c r="L284" i="1"/>
  <c r="L285" i="1"/>
  <c r="L286" i="1"/>
  <c r="L287" i="1"/>
  <c r="L288" i="1"/>
  <c r="L295" i="1"/>
  <c r="L296" i="1"/>
  <c r="E110" i="2" s="1"/>
  <c r="L297" i="1"/>
  <c r="E111" i="2" s="1"/>
  <c r="L298" i="1"/>
  <c r="L300" i="1"/>
  <c r="L301" i="1"/>
  <c r="L302" i="1"/>
  <c r="L303" i="1"/>
  <c r="L304" i="1"/>
  <c r="L305" i="1"/>
  <c r="L306" i="1"/>
  <c r="E124" i="2" s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C29" i="10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D85" i="2" s="1"/>
  <c r="D91" i="2" s="1"/>
  <c r="G162" i="1"/>
  <c r="H147" i="1"/>
  <c r="H162" i="1"/>
  <c r="H169" i="1" s="1"/>
  <c r="I147" i="1"/>
  <c r="I162" i="1"/>
  <c r="L250" i="1"/>
  <c r="L332" i="1"/>
  <c r="L254" i="1"/>
  <c r="C25" i="10"/>
  <c r="L268" i="1"/>
  <c r="L269" i="1"/>
  <c r="L349" i="1"/>
  <c r="L350" i="1"/>
  <c r="I665" i="1"/>
  <c r="I670" i="1"/>
  <c r="L229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D18" i="2" s="1"/>
  <c r="E17" i="2"/>
  <c r="F17" i="2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E62" i="2" s="1"/>
  <c r="E63" i="2" s="1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C78" i="2" s="1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E113" i="2"/>
  <c r="C114" i="2"/>
  <c r="E114" i="2"/>
  <c r="D115" i="2"/>
  <c r="F115" i="2"/>
  <c r="G115" i="2"/>
  <c r="E118" i="2"/>
  <c r="E120" i="2"/>
  <c r="E121" i="2"/>
  <c r="E122" i="2"/>
  <c r="E123" i="2"/>
  <c r="C125" i="2"/>
  <c r="E125" i="2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G338" i="1" s="1"/>
  <c r="G352" i="1" s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G408" i="1" s="1"/>
  <c r="H645" i="1" s="1"/>
  <c r="H393" i="1"/>
  <c r="I393" i="1"/>
  <c r="F401" i="1"/>
  <c r="G401" i="1"/>
  <c r="H401" i="1"/>
  <c r="I401" i="1"/>
  <c r="F407" i="1"/>
  <c r="G407" i="1"/>
  <c r="H407" i="1"/>
  <c r="I407" i="1"/>
  <c r="F408" i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H461" i="1"/>
  <c r="F470" i="1"/>
  <c r="G470" i="1"/>
  <c r="G476" i="1" s="1"/>
  <c r="H623" i="1" s="1"/>
  <c r="J623" i="1" s="1"/>
  <c r="H470" i="1"/>
  <c r="I470" i="1"/>
  <c r="J470" i="1"/>
  <c r="J476" i="1" s="1"/>
  <c r="H626" i="1" s="1"/>
  <c r="F474" i="1"/>
  <c r="G474" i="1"/>
  <c r="H474" i="1"/>
  <c r="I474" i="1"/>
  <c r="I476" i="1" s="1"/>
  <c r="H625" i="1" s="1"/>
  <c r="J625" i="1" s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H545" i="1" s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7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J636" i="1" s="1"/>
  <c r="H637" i="1"/>
  <c r="H638" i="1"/>
  <c r="G639" i="1"/>
  <c r="G640" i="1"/>
  <c r="G641" i="1"/>
  <c r="H641" i="1"/>
  <c r="G643" i="1"/>
  <c r="H643" i="1"/>
  <c r="G644" i="1"/>
  <c r="G645" i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18" i="2"/>
  <c r="C26" i="10"/>
  <c r="L351" i="1"/>
  <c r="A31" i="12"/>
  <c r="C70" i="2"/>
  <c r="D18" i="13"/>
  <c r="C18" i="13" s="1"/>
  <c r="D17" i="13"/>
  <c r="C17" i="13" s="1"/>
  <c r="C91" i="2"/>
  <c r="F78" i="2"/>
  <c r="F81" i="2" s="1"/>
  <c r="D50" i="2"/>
  <c r="G157" i="2"/>
  <c r="F18" i="2"/>
  <c r="G161" i="2"/>
  <c r="G156" i="2"/>
  <c r="E103" i="2"/>
  <c r="E31" i="2"/>
  <c r="G62" i="2"/>
  <c r="D19" i="13"/>
  <c r="C19" i="13" s="1"/>
  <c r="E78" i="2"/>
  <c r="E81" i="2" s="1"/>
  <c r="L427" i="1"/>
  <c r="H112" i="1"/>
  <c r="J641" i="1"/>
  <c r="J571" i="1"/>
  <c r="K571" i="1"/>
  <c r="L433" i="1"/>
  <c r="I169" i="1"/>
  <c r="G552" i="1"/>
  <c r="J643" i="1"/>
  <c r="J140" i="1"/>
  <c r="F571" i="1"/>
  <c r="I552" i="1"/>
  <c r="K550" i="1"/>
  <c r="G22" i="2"/>
  <c r="J552" i="1"/>
  <c r="H140" i="1"/>
  <c r="L401" i="1"/>
  <c r="C139" i="2" s="1"/>
  <c r="L393" i="1"/>
  <c r="C138" i="2" s="1"/>
  <c r="H25" i="13"/>
  <c r="C25" i="13" s="1"/>
  <c r="H571" i="1"/>
  <c r="L560" i="1"/>
  <c r="H192" i="1"/>
  <c r="C35" i="10"/>
  <c r="E16" i="13"/>
  <c r="C16" i="13" s="1"/>
  <c r="J655" i="1"/>
  <c r="L570" i="1"/>
  <c r="I571" i="1"/>
  <c r="G36" i="2"/>
  <c r="L565" i="1"/>
  <c r="H33" i="13"/>
  <c r="F112" i="1" l="1"/>
  <c r="A40" i="12"/>
  <c r="A13" i="12"/>
  <c r="K551" i="1"/>
  <c r="H552" i="1"/>
  <c r="G545" i="1"/>
  <c r="K549" i="1"/>
  <c r="L534" i="1"/>
  <c r="K545" i="1"/>
  <c r="I545" i="1"/>
  <c r="F552" i="1"/>
  <c r="L524" i="1"/>
  <c r="G662" i="1"/>
  <c r="H662" i="1"/>
  <c r="H338" i="1"/>
  <c r="H352" i="1" s="1"/>
  <c r="L328" i="1"/>
  <c r="E109" i="2"/>
  <c r="E115" i="2" s="1"/>
  <c r="F338" i="1"/>
  <c r="F352" i="1" s="1"/>
  <c r="J651" i="1"/>
  <c r="J649" i="1"/>
  <c r="K598" i="1"/>
  <c r="G647" i="1" s="1"/>
  <c r="J645" i="1"/>
  <c r="C81" i="2"/>
  <c r="C57" i="2"/>
  <c r="C62" i="2" s="1"/>
  <c r="C63" i="2" s="1"/>
  <c r="J617" i="1"/>
  <c r="H476" i="1"/>
  <c r="H624" i="1" s="1"/>
  <c r="J624" i="1" s="1"/>
  <c r="K338" i="1"/>
  <c r="K352" i="1" s="1"/>
  <c r="E119" i="2"/>
  <c r="E128" i="2" s="1"/>
  <c r="C19" i="10"/>
  <c r="L309" i="1"/>
  <c r="G660" i="1" s="1"/>
  <c r="L290" i="1"/>
  <c r="D62" i="2"/>
  <c r="D63" i="2" s="1"/>
  <c r="F476" i="1"/>
  <c r="H622" i="1" s="1"/>
  <c r="J622" i="1" s="1"/>
  <c r="I460" i="1"/>
  <c r="I461" i="1" s="1"/>
  <c r="H642" i="1" s="1"/>
  <c r="J640" i="1"/>
  <c r="J639" i="1"/>
  <c r="I446" i="1"/>
  <c r="G642" i="1" s="1"/>
  <c r="J642" i="1" s="1"/>
  <c r="H408" i="1"/>
  <c r="H644" i="1" s="1"/>
  <c r="J644" i="1" s="1"/>
  <c r="J634" i="1"/>
  <c r="D127" i="2"/>
  <c r="D128" i="2" s="1"/>
  <c r="D145" i="2" s="1"/>
  <c r="H661" i="1"/>
  <c r="L362" i="1"/>
  <c r="C27" i="10" s="1"/>
  <c r="G661" i="1"/>
  <c r="D29" i="13"/>
  <c r="C29" i="13" s="1"/>
  <c r="F661" i="1"/>
  <c r="C130" i="2"/>
  <c r="F22" i="13"/>
  <c r="C22" i="13" s="1"/>
  <c r="C123" i="2"/>
  <c r="C121" i="2"/>
  <c r="C118" i="2"/>
  <c r="C13" i="10"/>
  <c r="C111" i="2"/>
  <c r="C10" i="10"/>
  <c r="D12" i="13"/>
  <c r="C12" i="13" s="1"/>
  <c r="C18" i="10"/>
  <c r="H647" i="1"/>
  <c r="F662" i="1"/>
  <c r="C20" i="10"/>
  <c r="C122" i="2"/>
  <c r="C21" i="10"/>
  <c r="C124" i="2"/>
  <c r="D15" i="13"/>
  <c r="C15" i="13" s="1"/>
  <c r="E13" i="13"/>
  <c r="C13" i="13" s="1"/>
  <c r="J257" i="1"/>
  <c r="J271" i="1" s="1"/>
  <c r="L247" i="1"/>
  <c r="K257" i="1"/>
  <c r="K271" i="1" s="1"/>
  <c r="C16" i="10"/>
  <c r="I257" i="1"/>
  <c r="I271" i="1" s="1"/>
  <c r="H257" i="1"/>
  <c r="H271" i="1" s="1"/>
  <c r="G257" i="1"/>
  <c r="G271" i="1" s="1"/>
  <c r="C11" i="10"/>
  <c r="F257" i="1"/>
  <c r="F271" i="1" s="1"/>
  <c r="E8" i="13"/>
  <c r="C8" i="13" s="1"/>
  <c r="C120" i="2"/>
  <c r="C17" i="10"/>
  <c r="D7" i="13"/>
  <c r="C7" i="13" s="1"/>
  <c r="C119" i="2"/>
  <c r="C15" i="10"/>
  <c r="D6" i="13"/>
  <c r="C6" i="13" s="1"/>
  <c r="C112" i="2"/>
  <c r="L211" i="1"/>
  <c r="C110" i="2"/>
  <c r="C109" i="2"/>
  <c r="D5" i="13"/>
  <c r="C5" i="13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F33" i="13" l="1"/>
  <c r="C144" i="2"/>
  <c r="K552" i="1"/>
  <c r="L545" i="1"/>
  <c r="I662" i="1"/>
  <c r="H660" i="1"/>
  <c r="H664" i="1" s="1"/>
  <c r="H667" i="1" s="1"/>
  <c r="J647" i="1"/>
  <c r="G104" i="2"/>
  <c r="C104" i="2"/>
  <c r="L338" i="1"/>
  <c r="L352" i="1" s="1"/>
  <c r="G633" i="1" s="1"/>
  <c r="J633" i="1" s="1"/>
  <c r="E145" i="2"/>
  <c r="D31" i="13"/>
  <c r="C31" i="13" s="1"/>
  <c r="D104" i="2"/>
  <c r="H646" i="1"/>
  <c r="J646" i="1" s="1"/>
  <c r="G635" i="1"/>
  <c r="J635" i="1" s="1"/>
  <c r="G664" i="1"/>
  <c r="G667" i="1" s="1"/>
  <c r="I661" i="1"/>
  <c r="F660" i="1"/>
  <c r="F664" i="1" s="1"/>
  <c r="F672" i="1" s="1"/>
  <c r="C4" i="10" s="1"/>
  <c r="H648" i="1"/>
  <c r="J648" i="1" s="1"/>
  <c r="E33" i="13"/>
  <c r="D35" i="13" s="1"/>
  <c r="C128" i="2"/>
  <c r="C28" i="10"/>
  <c r="D25" i="10" s="1"/>
  <c r="L257" i="1"/>
  <c r="L271" i="1" s="1"/>
  <c r="G632" i="1" s="1"/>
  <c r="J632" i="1" s="1"/>
  <c r="C115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H672" i="1"/>
  <c r="C6" i="10" s="1"/>
  <c r="G672" i="1"/>
  <c r="C5" i="10" s="1"/>
  <c r="F667" i="1"/>
  <c r="I660" i="1"/>
  <c r="I664" i="1" s="1"/>
  <c r="I672" i="1" s="1"/>
  <c r="C7" i="10" s="1"/>
  <c r="C145" i="2"/>
  <c r="D26" i="10"/>
  <c r="D21" i="10"/>
  <c r="D15" i="10"/>
  <c r="D12" i="10"/>
  <c r="D16" i="10"/>
  <c r="D19" i="10"/>
  <c r="D13" i="10"/>
  <c r="D22" i="10"/>
  <c r="D18" i="10"/>
  <c r="D11" i="10"/>
  <c r="D27" i="10"/>
  <c r="D17" i="10"/>
  <c r="D24" i="10"/>
  <c r="D10" i="10"/>
  <c r="C30" i="10"/>
  <c r="D23" i="10"/>
  <c r="D20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<sst xmlns="http://schemas.openxmlformats.org/spreadsheetml/2006/main" count="3955" uniqueCount="912">
  <si>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</si>
  <si>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</si>
  <si>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</si>
  <si>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</si>
  <si>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</si>
  <si>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</si>
  <si>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</si>
  <si>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</si>
  <si>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</si>
  <si>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</si>
  <si>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</si>
  <si>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</si>
  <si>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</si>
  <si>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</si>
  <si>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</si>
  <si>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</si>
  <si>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</si>
  <si>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</si>
  <si>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</si>
  <si>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</si>
  <si>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</si>
  <si>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</si>
  <si>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</si>
  <si>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</si>
  <si>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</si>
  <si>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</si>
  <si>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</si>
  <si>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</si>
  <si>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</si>
  <si>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</si>
  <si>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</si>
  <si>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</si>
  <si>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</si>
  <si>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</si>
  <si>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</si>
  <si>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</si>
  <si>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</si>
  <si>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</si>
  <si>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</si>
  <si>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</si>
  <si>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</si>
  <si>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</si>
  <si>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</si>
  <si>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</si>
  <si>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</si>
  <si>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</si>
  <si>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</si>
  <si>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</si>
  <si>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</si>
  <si>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</si>
  <si>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</si>
  <si>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</si>
  <si>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</si>
  <si>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</si>
  <si>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</si>
  <si>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</si>
  <si>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</si>
  <si>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</si>
  <si>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</si>
  <si>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</si>
  <si>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</si>
  <si>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</si>
  <si>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</si>
  <si>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</si>
  <si>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</si>
  <si>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</si>
  <si>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</si>
  <si>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</si>
  <si>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</si>
  <si>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</si>
  <si>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</si>
  <si>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</si>
  <si>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</si>
  <si>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</si>
  <si>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</si>
  <si>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</si>
  <si>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</si>
  <si>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</si>
  <si>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</si>
  <si>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</si>
  <si>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</si>
  <si>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</si>
  <si>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</si>
  <si>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</si>
  <si>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</si>
  <si>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</si>
  <si>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</si>
  <si>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</si>
  <si>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</si>
  <si>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</si>
  <si>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</si>
  <si>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</si>
  <si>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</si>
  <si>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</si>
  <si>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</si>
  <si>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</si>
  <si>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</si>
  <si>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</si>
  <si>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</si>
  <si>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</si>
  <si>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</si>
  <si>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</si>
  <si>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</si>
  <si>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</si>
  <si>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</si>
  <si>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</si>
  <si>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</si>
  <si>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</si>
  <si>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</si>
  <si>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</si>
  <si>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</si>
  <si>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</si>
  <si>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</si>
  <si>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</si>
  <si>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</si>
  <si>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</si>
  <si>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</si>
  <si>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</si>
  <si>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</si>
  <si>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</si>
  <si>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</si>
  <si>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</si>
  <si>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</si>
  <si>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</si>
  <si>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</si>
  <si>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</si>
  <si>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</si>
  <si>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</si>
  <si>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</si>
  <si>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</si>
  <si>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</si>
  <si>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</si>
  <si>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</si>
  <si>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</si>
  <si>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</si>
  <si>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</si>
  <si>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</si>
  <si>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</si>
  <si>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</si>
  <si>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</si>
  <si>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</si>
  <si>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</si>
  <si>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</si>
  <si>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</si>
  <si>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</si>
  <si>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</si>
  <si>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</si>
  <si>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</si>
  <si>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</si>
  <si>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</si>
  <si>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</si>
  <si>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</si>
  <si>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</si>
  <si>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</si>
  <si>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</si>
  <si>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</si>
  <si>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</si>
  <si>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</si>
  <si>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</si>
  <si>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</si>
  <si>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</si>
  <si>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</si>
  <si>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</si>
  <si>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</si>
  <si>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</si>
  <si>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</si>
  <si>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</si>
  <si>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</si>
  <si>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</si>
  <si>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</si>
  <si>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</si>
  <si>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</si>
  <si>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</si>
  <si>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</si>
  <si>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</si>
  <si>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</si>
  <si>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</si>
  <si>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</si>
  <si>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</si>
  <si>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</si>
  <si>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</si>
  <si>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</si>
  <si>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</si>
  <si>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</si>
  <si>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</si>
  <si>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</si>
  <si>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</si>
  <si>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</si>
  <si>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</si>
  <si>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</si>
  <si>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</si>
  <si>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</si>
  <si>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</si>
  <si>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</si>
  <si>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</si>
  <si>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</si>
  <si>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</si>
  <si>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</si>
  <si>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</si>
  <si>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</si>
  <si>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</si>
  <si>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</si>
  <si>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</si>
  <si>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</si>
  <si>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</si>
  <si>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</si>
  <si>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</si>
  <si>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</si>
  <si>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</si>
  <si>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</si>
  <si>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</si>
  <si>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</si>
  <si>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</si>
  <si>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</si>
  <si>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</si>
  <si>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</si>
  <si>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</si>
  <si>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</si>
  <si>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</si>
  <si>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</si>
  <si>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</si>
  <si>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</si>
  <si>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</si>
  <si>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</si>
  <si>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</si>
  <si>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</si>
  <si>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</si>
  <si>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</si>
  <si>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</si>
  <si>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</si>
  <si>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</si>
  <si>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</si>
  <si>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</si>
  <si>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</si>
  <si>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</si>
  <si>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</si>
  <si>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</si>
  <si>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</si>
  <si>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</si>
  <si>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</si>
  <si>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</si>
  <si>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</si>
  <si>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</si>
  <si>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</si>
  <si>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</si>
  <si>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</si>
  <si>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</si>
  <si>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</si>
  <si>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</si>
  <si>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</si>
  <si>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</si>
  <si>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</si>
  <si>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</si>
  <si>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</si>
  <si>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</si>
  <si>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</si>
  <si>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</si>
  <si>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</si>
  <si>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</si>
  <si>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</si>
  <si>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</si>
  <si>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</si>
  <si>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</si>
  <si>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</si>
  <si>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</si>
  <si>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</si>
  <si>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</si>
  <si>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</si>
  <si>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</si>
  <si>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</si>
  <si>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</si>
  <si>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</si>
  <si>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</si>
  <si>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</si>
  <si>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</si>
  <si>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</si>
  <si>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</si>
  <si>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</si>
  <si>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</si>
  <si>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</si>
  <si>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</si>
  <si>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</si>
  <si>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</si>
  <si>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</si>
  <si>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</si>
  <si>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</si>
  <si>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</si>
  <si>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</si>
  <si>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</si>
  <si>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</si>
  <si>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</si>
  <si>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</si>
  <si>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</si>
  <si>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</si>
  <si>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</si>
  <si>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</si>
  <si>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</si>
  <si>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</si>
  <si>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</si>
  <si>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</si>
  <si>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</si>
  <si>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</si>
  <si>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</si>
  <si>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</si>
  <si>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</si>
  <si>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</si>
  <si>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</si>
  <si>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</si>
  <si>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</si>
  <si>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</si>
  <si>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</si>
  <si>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</si>
  <si>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</si>
  <si>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</si>
  <si>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</si>
  <si>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</si>
  <si>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</si>
  <si>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</si>
  <si>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</si>
  <si>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</si>
  <si>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</si>
  <si>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</si>
  <si>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</si>
  <si>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</si>
  <si>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</si>
  <si>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</si>
  <si>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</si>
  <si>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</si>
  <si>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</si>
  <si>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</si>
  <si>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</si>
  <si>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</si>
  <si>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</si>
  <si>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</si>
  <si>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</si>
  <si>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</si>
  <si>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</si>
  <si>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</si>
  <si>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</si>
  <si>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</si>
  <si>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</si>
  <si>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</si>
  <si>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</si>
  <si>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</si>
  <si>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</si>
  <si>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</si>
  <si>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</si>
  <si>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</si>
  <si>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</si>
  <si>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</si>
  <si>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</si>
  <si>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</si>
  <si>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</si>
  <si>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</si>
  <si>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</si>
  <si>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</si>
  <si>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</si>
  <si>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</si>
  <si>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</si>
  <si>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</si>
  <si>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</si>
  <si>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</si>
  <si>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</si>
  <si>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</si>
  <si>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</si>
  <si>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</si>
  <si>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</si>
  <si>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</si>
  <si>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</si>
  <si>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</si>
  <si>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</si>
  <si>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</si>
  <si>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</si>
  <si>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</si>
  <si>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</si>
  <si>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</si>
  <si>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</si>
  <si>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</si>
  <si>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</si>
  <si>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</si>
  <si>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</si>
  <si>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</si>
  <si>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</si>
  <si>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</si>
  <si>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</si>
  <si>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</si>
  <si>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</si>
  <si>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</si>
  <si>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</si>
  <si>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</si>
  <si>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</si>
  <si>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</si>
  <si>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</si>
  <si>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</si>
  <si>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</si>
  <si>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</si>
  <si>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</si>
  <si>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</si>
  <si>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</si>
  <si>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</si>
  <si>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</si>
  <si>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</si>
  <si>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</si>
  <si>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</si>
  <si>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</si>
  <si>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</si>
  <si>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</si>
  <si>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</si>
  <si>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</si>
  <si>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</si>
  <si>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</si>
  <si>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</si>
  <si>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</si>
  <si>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</si>
  <si>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</si>
  <si>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</si>
  <si>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</si>
  <si>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</si>
  <si>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</si>
  <si>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</si>
  <si>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</si>
  <si>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</si>
  <si>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</si>
  <si>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</si>
  <si>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</si>
  <si>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</si>
  <si>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</si>
  <si>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</si>
  <si>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</si>
  <si>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</si>
  <si>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</si>
  <si>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</si>
  <si>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</si>
  <si>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</si>
  <si>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</si>
  <si>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</si>
  <si>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</si>
  <si>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</si>
  <si>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</si>
  <si>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</si>
  <si>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</si>
  <si>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</si>
  <si>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</si>
  <si>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</si>
  <si>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</si>
  <si>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</si>
  <si>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</si>
  <si>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</si>
  <si>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</si>
  <si>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</si>
  <si>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</si>
  <si>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</si>
  <si>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</si>
  <si>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</si>
  <si>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</si>
  <si>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</si>
  <si>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</si>
  <si>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</si>
  <si>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</si>
  <si>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</si>
  <si>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</si>
  <si>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</si>
  <si>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</si>
  <si>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</si>
  <si>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</si>
  <si>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</si>
  <si>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</si>
  <si>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</si>
  <si>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</si>
  <si>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</si>
  <si>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</si>
  <si>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</si>
  <si>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</si>
  <si>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</si>
  <si>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</si>
  <si>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</si>
  <si>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</si>
  <si>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</si>
  <si>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</si>
  <si>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</si>
  <si>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</si>
  <si>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</si>
  <si>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</si>
  <si>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</si>
  <si>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</si>
  <si>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</si>
  <si>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</si>
  <si>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</si>
  <si>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</si>
  <si>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</si>
  <si>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</si>
  <si>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</si>
  <si>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</si>
  <si>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</si>
  <si>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</si>
  <si>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</si>
  <si>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</si>
  <si>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</si>
  <si>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</si>
  <si>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</si>
  <si>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</si>
  <si>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</si>
  <si>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</si>
  <si>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</si>
  <si>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</si>
  <si>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</si>
  <si>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</si>
  <si>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</si>
  <si>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</si>
  <si>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</si>
  <si>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</si>
  <si>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</si>
  <si>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</si>
  <si>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</si>
  <si>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</si>
  <si>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</si>
  <si>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</si>
  <si>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</si>
  <si>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</si>
  <si>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</si>
  <si>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</si>
  <si>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</si>
  <si>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</si>
  <si>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</si>
  <si>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</si>
  <si>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</si>
  <si>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</si>
  <si>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</si>
  <si>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</si>
  <si>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</si>
  <si>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</si>
  <si>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</si>
  <si>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</si>
  <si>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</si>
  <si>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</si>
  <si>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</si>
  <si>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</si>
  <si>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</si>
  <si>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</si>
  <si>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</si>
  <si>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</si>
  <si>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</si>
  <si>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</si>
  <si>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</si>
  <si>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</si>
  <si>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</si>
  <si>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</si>
  <si>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</si>
  <si>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</si>
  <si>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</si>
  <si>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</si>
  <si>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</si>
  <si>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</si>
  <si>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</si>
  <si>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</si>
  <si>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</si>
  <si>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</si>
  <si>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</si>
  <si>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</si>
  <si>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</si>
  <si>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</si>
  <si>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</si>
  <si>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</si>
  <si>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</si>
  <si>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</si>
  <si>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</si>
  <si>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</si>
  <si>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</si>
  <si>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</si>
  <si>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</si>
  <si>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</si>
  <si>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</si>
  <si>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</si>
  <si>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</si>
  <si>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</si>
  <si>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</si>
  <si>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</si>
  <si>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</si>
  <si>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</si>
  <si>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</si>
  <si>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</si>
  <si>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</si>
  <si>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</si>
  <si>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</si>
  <si>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</si>
  <si>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</si>
  <si>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</si>
  <si>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</si>
  <si>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</si>
  <si>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</si>
  <si>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</si>
  <si>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</si>
  <si>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</si>
  <si>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</si>
  <si>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</si>
  <si>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</si>
  <si>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</si>
  <si>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</si>
  <si>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</si>
  <si>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</si>
  <si>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</si>
  <si>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</si>
  <si>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</si>
  <si>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</si>
  <si>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</si>
  <si>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</si>
  <si>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</si>
  <si>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</si>
  <si>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</si>
  <si>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</si>
  <si>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</si>
  <si>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</si>
  <si>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</si>
  <si>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</si>
  <si>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</si>
  <si>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</si>
  <si>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</si>
  <si>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</si>
  <si>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</si>
  <si>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</si>
  <si>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</si>
  <si>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</si>
  <si>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</si>
  <si>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</si>
  <si>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</si>
  <si>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</si>
  <si>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</si>
  <si>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</si>
  <si>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</si>
  <si>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</si>
  <si>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</si>
  <si>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</si>
  <si>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</si>
  <si>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</si>
  <si>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</si>
  <si>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</si>
  <si>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</si>
  <si>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</si>
  <si>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</si>
  <si>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</si>
  <si>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</si>
  <si>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</si>
  <si>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</si>
  <si>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</si>
  <si>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</si>
  <si>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</si>
  <si>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</si>
  <si>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</si>
  <si>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</si>
  <si>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</si>
  <si>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</si>
  <si>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</si>
  <si>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</si>
  <si>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</si>
  <si>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</si>
  <si>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</si>
  <si>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</si>
  <si>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</si>
  <si>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</si>
  <si>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</si>
  <si>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</si>
  <si>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</si>
  <si>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</si>
  <si>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</si>
  <si>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</si>
  <si>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</si>
  <si>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</si>
  <si>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</si>
  <si>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</si>
  <si>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</si>
  <si>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</si>
  <si>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</si>
  <si>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</si>
  <si>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</si>
  <si>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</si>
  <si>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</si>
  <si>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</si>
  <si>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</si>
  <si>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</si>
  <si>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</si>
  <si>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</si>
  <si>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</si>
  <si>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</si>
  <si>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</si>
  <si>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</si>
  <si>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</si>
  <si>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</si>
  <si>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</si>
  <si>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</si>
  <si>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</si>
  <si>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</si>
  <si>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</si>
  <si>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</si>
  <si>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</si>
  <si>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</si>
  <si>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</si>
  <si>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</si>
  <si>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</si>
  <si>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</si>
  <si>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</si>
  <si>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</si>
  <si>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</si>
  <si>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</si>
  <si>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</si>
  <si>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</si>
  <si>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</si>
  <si>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</si>
  <si>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</si>
  <si>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</si>
  <si>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</si>
  <si>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</si>
  <si>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</si>
  <si>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</si>
  <si>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</si>
  <si>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</si>
  <si>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</si>
  <si>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</si>
  <si>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</si>
  <si>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</si>
  <si>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</si>
  <si>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</si>
  <si>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</si>
  <si>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</si>
  <si>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</si>
  <si>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</si>
  <si>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</si>
  <si>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</si>
  <si>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</si>
  <si>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</si>
  <si>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</si>
  <si>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</si>
  <si>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</si>
  <si>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</si>
  <si>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</si>
  <si>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</si>
  <si>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</si>
  <si>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</si>
  <si>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</si>
  <si>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</si>
  <si>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</si>
  <si>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</si>
  <si>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</si>
  <si>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</si>
  <si>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</si>
  <si>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</si>
  <si>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</si>
  <si>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</si>
  <si>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</si>
  <si>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</si>
  <si>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</si>
  <si>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</si>
  <si>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</si>
  <si>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</si>
  <si>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</si>
  <si>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</si>
  <si>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</si>
  <si>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</si>
  <si>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</si>
  <si>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</si>
  <si>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</si>
  <si>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</si>
  <si>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</si>
  <si>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</si>
  <si>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</si>
  <si>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</si>
  <si>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</si>
  <si>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</si>
  <si>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</si>
  <si>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</si>
  <si>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</si>
  <si>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</si>
  <si>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</si>
  <si>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</si>
  <si>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</si>
  <si>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</si>
  <si>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</si>
  <si>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</si>
  <si>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</si>
  <si>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</si>
  <si>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</si>
  <si>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</si>
  <si>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</si>
  <si>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</si>
  <si>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</si>
  <si>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</si>
  <si>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</si>
  <si>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</si>
  <si>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</si>
  <si>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</si>
  <si>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</si>
  <si>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</si>
  <si>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</si>
  <si>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</si>
  <si>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</si>
  <si>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</si>
  <si>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</si>
  <si>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</si>
  <si>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</si>
  <si>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</si>
  <si>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</si>
  <si>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</si>
  <si>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</si>
  <si>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</si>
  <si>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</si>
  <si>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</si>
  <si>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</si>
  <si>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</si>
  <si>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</si>
  <si>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</si>
  <si>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</si>
  <si>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</si>
  <si>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</si>
  <si>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</si>
  <si>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</si>
  <si>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</si>
  <si>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</si>
  <si>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</si>
  <si>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</si>
  <si>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</si>
  <si>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</si>
  <si>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</si>
  <si>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</si>
  <si>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</si>
  <si>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</si>
  <si>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</si>
  <si>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</si>
  <si>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</si>
  <si>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</si>
  <si>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</si>
  <si>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</si>
  <si>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</si>
  <si>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</si>
  <si>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</si>
  <si>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</si>
  <si>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</si>
  <si>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</si>
  <si>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</si>
  <si>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</si>
  <si>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</si>
  <si>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</si>
  <si>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</si>
  <si>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</si>
  <si>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</si>
  <si>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</si>
  <si>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</si>
  <si>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</si>
  <si>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</si>
  <si>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</si>
  <si>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</si>
  <si>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</si>
  <si>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</si>
  <si>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</si>
  <si>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</si>
  <si>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</si>
  <si>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</si>
  <si>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</si>
  <si>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</si>
  <si>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</si>
  <si>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</si>
  <si>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</si>
  <si>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</si>
  <si>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</si>
  <si>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</si>
  <si>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</si>
  <si>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</si>
  <si>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</si>
  <si>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</si>
  <si>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</si>
  <si>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</si>
  <si>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</si>
  <si>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</si>
  <si>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</si>
  <si>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</si>
  <si>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</si>
  <si>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</si>
  <si>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</si>
  <si>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</si>
  <si>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</si>
  <si>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</si>
  <si>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</si>
  <si>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</si>
  <si>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</si>
  <si>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</si>
  <si>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</si>
  <si>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</si>
  <si>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</si>
  <si>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</si>
  <si>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</si>
  <si>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</si>
  <si>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</si>
  <si>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</si>
  <si>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</si>
  <si>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</si>
  <si>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</si>
  <si>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</si>
  <si>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</si>
  <si>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</si>
  <si>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</si>
  <si>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</si>
  <si>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</si>
  <si>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</si>
  <si>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</si>
  <si>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</si>
  <si>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</si>
  <si>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</si>
  <si>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</si>
  <si>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</si>
  <si>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</si>
  <si>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</si>
  <si>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</si>
  <si>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</si>
  <si>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Newmarket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</si>
</sst>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10" zoomScaleNormal="110" workbookViewId="0">
      <pane xSplit="5" ySplit="3" topLeftCell="F638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399</v>
      </c>
      <c r="C2" s="21">
        <v>399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1399415.3</v>
      </c>
      <c r="G9" s="18"/>
      <c r="H9" s="18"/>
      <c r="I9" s="18"/>
      <c r="J9" s="67">
        <f>SUM(I439)</f>
        <v>1229395.8199999998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11494.64</v>
      </c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185</v>
      </c>
      <c r="G14" s="18"/>
      <c r="H14" s="18">
        <v>98308.91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1190.57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2133.41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>
        <v>-3361.39</v>
      </c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1401733.71</v>
      </c>
      <c r="G19" s="41">
        <f>SUM(G9:G18)</f>
        <v>9323.82</v>
      </c>
      <c r="H19" s="41">
        <f>SUM(H9:H18)</f>
        <v>98308.91</v>
      </c>
      <c r="I19" s="41">
        <f>SUM(I9:I18)</f>
        <v>0</v>
      </c>
      <c r="J19" s="41">
        <f>SUM(J9:J18)</f>
        <v>1229395.8199999998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-55870.32</v>
      </c>
      <c r="G22" s="18">
        <v>-7049.35</v>
      </c>
      <c r="H22" s="18">
        <v>80614.289999999994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241439.43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572628.36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758197.47</v>
      </c>
      <c r="G32" s="41">
        <f>SUM(G22:G31)</f>
        <v>-7049.35</v>
      </c>
      <c r="H32" s="41">
        <f>SUM(H22:H31)</f>
        <v>80614.289999999994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1229395.8199999998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>
        <v>16373.17</v>
      </c>
      <c r="H49" s="18">
        <v>17694.62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493536.24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643536.24</v>
      </c>
      <c r="G51" s="41">
        <f>SUM(G35:G50)</f>
        <v>16373.17</v>
      </c>
      <c r="H51" s="41">
        <f>SUM(H35:H50)</f>
        <v>17694.62</v>
      </c>
      <c r="I51" s="41">
        <f>SUM(I35:I50)</f>
        <v>0</v>
      </c>
      <c r="J51" s="41">
        <f>SUM(J35:J50)</f>
        <v>1229395.8199999998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1401733.71</v>
      </c>
      <c r="G52" s="41">
        <f>G51+G32</f>
        <v>9323.82</v>
      </c>
      <c r="H52" s="41">
        <f>H51+H32</f>
        <v>98308.909999999989</v>
      </c>
      <c r="I52" s="41">
        <f>I51+I32</f>
        <v>0</v>
      </c>
      <c r="J52" s="41">
        <f>J51+J32</f>
        <v>1229395.8199999998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11389367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11389367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15505.5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 t="s">
        <v>287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15505.5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7313.44</v>
      </c>
      <c r="G96" s="18"/>
      <c r="H96" s="18"/>
      <c r="I96" s="18"/>
      <c r="J96" s="18">
        <v>2544.66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159226.48-1036.63</f>
        <v>158189.85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88207.44</v>
      </c>
      <c r="G110" s="18">
        <v>6437.68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95520.88</v>
      </c>
      <c r="G111" s="41">
        <f>SUM(G96:G110)</f>
        <v>164627.53</v>
      </c>
      <c r="H111" s="41">
        <f>SUM(H96:H110)</f>
        <v>0</v>
      </c>
      <c r="I111" s="41">
        <f>SUM(I96:I110)</f>
        <v>0</v>
      </c>
      <c r="J111" s="41">
        <f>SUM(J96:J110)</f>
        <v>2544.66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11500393.380000001</v>
      </c>
      <c r="G112" s="41">
        <f>G60+G111</f>
        <v>164627.53</v>
      </c>
      <c r="H112" s="41">
        <f>H60+H79+H94+H111</f>
        <v>0</v>
      </c>
      <c r="I112" s="41">
        <f>I60+I111</f>
        <v>0</v>
      </c>
      <c r="J112" s="41">
        <f>J60+J111</f>
        <v>2544.66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2351837.9900000002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1719407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75.28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4071320.27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51247.17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12417.6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4643.95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63664.77</v>
      </c>
      <c r="G136" s="41">
        <f>SUM(G123:G135)</f>
        <v>4643.95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4134985.04</v>
      </c>
      <c r="G140" s="41">
        <f>G121+SUM(G136:G137)</f>
        <v>4643.95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>
        <v>2317.5500000000002</v>
      </c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2317.5500000000002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138734.93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51278.42+7736.25+5462.49</f>
        <v>64477.159999999996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30711.8+103997.46</f>
        <v>134709.26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256146.78+7833</f>
        <v>263979.78000000003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224301.23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224301.23</v>
      </c>
      <c r="G162" s="41">
        <f>SUM(G150:G161)</f>
        <v>134709.26</v>
      </c>
      <c r="H162" s="41">
        <f>SUM(H150:H161)</f>
        <v>467191.87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>
        <v>22996.77</v>
      </c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224301.23</v>
      </c>
      <c r="G169" s="41">
        <f>G147+G162+SUM(G163:G168)</f>
        <v>137026.81</v>
      </c>
      <c r="H169" s="41">
        <f>H147+H162+SUM(H163:H168)</f>
        <v>490188.64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1036.6300000000001</v>
      </c>
      <c r="H179" s="18"/>
      <c r="I179" s="18"/>
      <c r="J179" s="18">
        <v>600000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1036.6300000000001</v>
      </c>
      <c r="H183" s="41">
        <f>SUM(H179:H182)</f>
        <v>0</v>
      </c>
      <c r="I183" s="41">
        <f>SUM(I179:I182)</f>
        <v>0</v>
      </c>
      <c r="J183" s="41">
        <f>SUM(J179:J182)</f>
        <v>600000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433696.85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433696.85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433696.85</v>
      </c>
      <c r="G192" s="41">
        <f>G183+SUM(G188:G191)</f>
        <v>1036.6300000000001</v>
      </c>
      <c r="H192" s="41">
        <f>+H183+SUM(H188:H191)</f>
        <v>0</v>
      </c>
      <c r="I192" s="41">
        <f>I177+I183+SUM(I188:I191)</f>
        <v>0</v>
      </c>
      <c r="J192" s="41">
        <f>J183</f>
        <v>600000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16293376.500000002</v>
      </c>
      <c r="G193" s="47">
        <f>G112+G140+G169+G192</f>
        <v>307334.92000000004</v>
      </c>
      <c r="H193" s="47">
        <f>H112+H140+H169+H192</f>
        <v>490188.64</v>
      </c>
      <c r="I193" s="47">
        <f>I112+I140+I169+I192</f>
        <v>0</v>
      </c>
      <c r="J193" s="47">
        <f>J112+J140+J192</f>
        <v>602544.66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1799766.95+840583.34</f>
        <v>2640350.29</v>
      </c>
      <c r="G197" s="18">
        <f>812144.6+395065.9</f>
        <v>1207210.5</v>
      </c>
      <c r="H197" s="18">
        <f>742.8</f>
        <v>742.8</v>
      </c>
      <c r="I197" s="18">
        <f>54717.19+21667.2</f>
        <v>76384.39</v>
      </c>
      <c r="J197" s="18">
        <f>25751.27+9071.07</f>
        <v>34822.339999999997</v>
      </c>
      <c r="K197" s="18">
        <v>2523</v>
      </c>
      <c r="L197" s="19">
        <f>SUM(F197:K197)</f>
        <v>3962033.32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957169.68+43370.44+354440.31+20786.65</f>
        <v>1375767.08</v>
      </c>
      <c r="G198" s="18">
        <f>356960.77+26630.79+108368.55+3390.14</f>
        <v>495350.25</v>
      </c>
      <c r="H198" s="18">
        <f>1286.27+5991.93+616.54+139470.82+106075.5+29645.68+78761.36</f>
        <v>361848.1</v>
      </c>
      <c r="I198" s="18">
        <f>4627.94+249.42+2586.47+86.95+7827.35</f>
        <v>15378.130000000001</v>
      </c>
      <c r="J198" s="18">
        <f>25412.82+20406.87+7603.6</f>
        <v>53423.29</v>
      </c>
      <c r="K198" s="18"/>
      <c r="L198" s="19">
        <f>SUM(F198:K198)</f>
        <v>2301766.85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244299.86+11651.73+2300+4306.88+9510+16747.2+3113.79+8462.1+450+5790</f>
        <v>306631.55999999994</v>
      </c>
      <c r="G200" s="18">
        <f>94853.55+2530.19+481.29+868.99+2056.74+12841.91+648.82+1249.69+98.15+1190.7</f>
        <v>116820.03000000001</v>
      </c>
      <c r="H200" s="18">
        <f>1960+29.57</f>
        <v>1989.57</v>
      </c>
      <c r="I200" s="18">
        <f>3364.1</f>
        <v>3364.1</v>
      </c>
      <c r="J200" s="18"/>
      <c r="K200" s="18">
        <f>85+65</f>
        <v>150</v>
      </c>
      <c r="L200" s="19">
        <f>SUM(F200:K200)</f>
        <v>428955.25999999995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47916+95529.23+41700.74+132111.12+88007+19785.6+23435.6+82347.75</f>
        <v>530833.03999999992</v>
      </c>
      <c r="G202" s="18">
        <f>31853.31+30550.61+8517.13+73541.08+38284.92+12881.9+13693.96+35369.04</f>
        <v>244691.94999999998</v>
      </c>
      <c r="H202" s="18">
        <f>28.11+497.5+662.55+228+163.8</f>
        <v>1579.9599999999998</v>
      </c>
      <c r="I202" s="18">
        <f>591.48+735.61+2999.32+835.14+1500+673.4+109.24+1826.24</f>
        <v>9270.43</v>
      </c>
      <c r="J202" s="18">
        <f>529.34</f>
        <v>529.34</v>
      </c>
      <c r="K202" s="18"/>
      <c r="L202" s="19">
        <f t="shared" ref="L202:L208" si="0">SUM(F202:K202)</f>
        <v>786904.71999999986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128599.28+41064+16838.37+57376.5</f>
        <v>243878.15</v>
      </c>
      <c r="G203" s="18">
        <f>3792+21395.71+9482.8+7261.39+18846.16+46093.06</f>
        <v>106871.12</v>
      </c>
      <c r="H203" s="18">
        <f>16374.18+81+2785.68+1306.38+30264.05+4710.11+647.52</f>
        <v>56168.92</v>
      </c>
      <c r="I203" s="18">
        <f>17125.85+45683.11+8401.89+2706.59+2514.88+4223.95</f>
        <v>80656.27</v>
      </c>
      <c r="J203" s="18">
        <f>492.02+67952.78+16217.7+14880.56</f>
        <v>99543.06</v>
      </c>
      <c r="K203" s="18">
        <f>845.03+217.5</f>
        <v>1062.53</v>
      </c>
      <c r="L203" s="19">
        <f t="shared" si="0"/>
        <v>588180.05000000005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11565.56+132194.25+93234.95</f>
        <v>236994.76</v>
      </c>
      <c r="G204" s="18">
        <f>871.1+21869.43+44183.77</f>
        <v>66924.299999999988</v>
      </c>
      <c r="H204" s="18">
        <f>107682.05+14078.75+5113.37</f>
        <v>126874.17</v>
      </c>
      <c r="I204" s="18">
        <f>16982.64+741.56</f>
        <v>17724.2</v>
      </c>
      <c r="J204" s="18">
        <f>1535.25</f>
        <v>1535.25</v>
      </c>
      <c r="K204" s="18">
        <f>67132.7+3496.92+1776.15</f>
        <v>72405.76999999999</v>
      </c>
      <c r="L204" s="19">
        <f t="shared" si="0"/>
        <v>522458.44999999995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247100.28+102861.4+310.5</f>
        <v>350272.18</v>
      </c>
      <c r="G205" s="18">
        <f>105078.42+43926.94+57.19</f>
        <v>149062.54999999999</v>
      </c>
      <c r="H205" s="18">
        <f>18216.06+8432.2</f>
        <v>26648.260000000002</v>
      </c>
      <c r="I205" s="18">
        <f>3000.93+1369.6</f>
        <v>4370.53</v>
      </c>
      <c r="J205" s="18">
        <f>131.56</f>
        <v>131.56</v>
      </c>
      <c r="K205" s="18">
        <f>1500+111.6</f>
        <v>1611.6</v>
      </c>
      <c r="L205" s="19">
        <f t="shared" si="0"/>
        <v>532096.68000000005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f>120090.8</f>
        <v>120090.8</v>
      </c>
      <c r="G206" s="18">
        <f>52554.44</f>
        <v>52554.44</v>
      </c>
      <c r="H206" s="18"/>
      <c r="I206" s="18"/>
      <c r="J206" s="18"/>
      <c r="K206" s="18"/>
      <c r="L206" s="19">
        <f t="shared" si="0"/>
        <v>172645.24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146356.21+60650.46</f>
        <v>207006.66999999998</v>
      </c>
      <c r="G207" s="18">
        <f>51649.74+22417.85</f>
        <v>74067.59</v>
      </c>
      <c r="H207" s="18">
        <f>22562.12+112049.97+141945.49</f>
        <v>276557.57999999996</v>
      </c>
      <c r="I207" s="18">
        <f>109845.16+74391.42</f>
        <v>184236.58000000002</v>
      </c>
      <c r="J207" s="18">
        <f>6882.24+5885.39</f>
        <v>12767.630000000001</v>
      </c>
      <c r="K207" s="18"/>
      <c r="L207" s="19">
        <f t="shared" si="0"/>
        <v>754636.04999999993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8932.17+2329.82</f>
        <v>11261.99</v>
      </c>
      <c r="G208" s="18">
        <f>2038.66+429.13</f>
        <v>2467.79</v>
      </c>
      <c r="H208" s="18">
        <f>170877+165810.42+2269.54+7538.64+547+7537.57</f>
        <v>354580.17000000004</v>
      </c>
      <c r="I208" s="18"/>
      <c r="J208" s="18"/>
      <c r="K208" s="18"/>
      <c r="L208" s="19">
        <f t="shared" si="0"/>
        <v>368309.95000000007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f>33.25</f>
        <v>33.25</v>
      </c>
      <c r="G209" s="18">
        <f>6.12</f>
        <v>6.12</v>
      </c>
      <c r="H209" s="18"/>
      <c r="I209" s="18"/>
      <c r="J209" s="18"/>
      <c r="K209" s="18"/>
      <c r="L209" s="19">
        <f>SUM(F209:K209)</f>
        <v>39.369999999999997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6023119.7699999996</v>
      </c>
      <c r="G211" s="41">
        <f t="shared" si="1"/>
        <v>2516026.6399999997</v>
      </c>
      <c r="H211" s="41">
        <f t="shared" si="1"/>
        <v>1206989.53</v>
      </c>
      <c r="I211" s="41">
        <f t="shared" si="1"/>
        <v>391384.63</v>
      </c>
      <c r="J211" s="41">
        <f t="shared" si="1"/>
        <v>202752.47</v>
      </c>
      <c r="K211" s="41">
        <f t="shared" si="1"/>
        <v>77752.899999999994</v>
      </c>
      <c r="L211" s="41">
        <f t="shared" si="1"/>
        <v>10418025.939999998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1165266.97</f>
        <v>1165266.97</v>
      </c>
      <c r="G233" s="18">
        <f>513333.13</f>
        <v>513333.13</v>
      </c>
      <c r="H233" s="18">
        <f>1289.19</f>
        <v>1289.19</v>
      </c>
      <c r="I233" s="18">
        <f>40034.76</f>
        <v>40034.76</v>
      </c>
      <c r="J233" s="18">
        <f>9002.54</f>
        <v>9002.5400000000009</v>
      </c>
      <c r="K233" s="18">
        <f>8927</f>
        <v>8927</v>
      </c>
      <c r="L233" s="19">
        <f>SUM(F233:K233)</f>
        <v>1737853.59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6928.88+520227.67+23627.21</f>
        <v>550783.75999999989</v>
      </c>
      <c r="G234" s="18">
        <f>1130.05+171951.1+3097.11</f>
        <v>176178.25999999998</v>
      </c>
      <c r="H234" s="18">
        <f>69164.94+338159.28+616.56+26253.79</f>
        <v>434194.57</v>
      </c>
      <c r="I234" s="18">
        <f>2609.12+1276.82+115.19</f>
        <v>4001.1299999999997</v>
      </c>
      <c r="J234" s="18">
        <f>2534.53+8585.04</f>
        <v>11119.570000000002</v>
      </c>
      <c r="K234" s="18"/>
      <c r="L234" s="19">
        <f>SUM(F234:K234)</f>
        <v>1176277.2899999998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138187.81</v>
      </c>
      <c r="I235" s="18"/>
      <c r="J235" s="18"/>
      <c r="K235" s="18"/>
      <c r="L235" s="19">
        <f>SUM(F235:K235)</f>
        <v>138187.81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26555.8+19343+32404+2820</f>
        <v>81122.8</v>
      </c>
      <c r="G236" s="18">
        <f>19518.25+3800.08+4945.43+555.57</f>
        <v>28819.33</v>
      </c>
      <c r="H236" s="18">
        <f>27768.85</f>
        <v>27768.85</v>
      </c>
      <c r="I236" s="18">
        <f>171+10545.23</f>
        <v>10716.23</v>
      </c>
      <c r="J236" s="18"/>
      <c r="K236" s="18">
        <f>6570+4440</f>
        <v>11010</v>
      </c>
      <c r="L236" s="19">
        <f>SUM(F236:K236)</f>
        <v>159437.21000000002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27449.25+73665.53+31078.4+35678.4</f>
        <v>167871.58</v>
      </c>
      <c r="G238" s="18">
        <f>11789.68+29211.88+19428.18+20654.06</f>
        <v>81083.8</v>
      </c>
      <c r="H238" s="18">
        <f>2804.5+342+198</f>
        <v>3344.5</v>
      </c>
      <c r="I238" s="18">
        <f>608.75+2503.91+724.79+109.24</f>
        <v>3946.6899999999996</v>
      </c>
      <c r="J238" s="18"/>
      <c r="K238" s="18">
        <f>595</f>
        <v>595</v>
      </c>
      <c r="L238" s="19">
        <f t="shared" ref="L238:L244" si="4">SUM(F238:K238)</f>
        <v>256841.57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19125.5+42866.43+21705.29</f>
        <v>83697.22</v>
      </c>
      <c r="G239" s="18">
        <f>6282.05+15364.35+16128.08+8887.86+10.52</f>
        <v>46672.86</v>
      </c>
      <c r="H239" s="18">
        <f>435.46+10088.02+5008.57+26347.43</f>
        <v>41879.479999999996</v>
      </c>
      <c r="I239" s="18">
        <f>5708.62+15227.7+4166.47+5634.36</f>
        <v>30737.15</v>
      </c>
      <c r="J239" s="18">
        <f>164.01+4960.19+29652.89</f>
        <v>34777.089999999997</v>
      </c>
      <c r="K239" s="18">
        <f>281.68+72.5</f>
        <v>354.18</v>
      </c>
      <c r="L239" s="19">
        <f t="shared" si="4"/>
        <v>238117.97999999998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3855.19+44064.75+31078.32</f>
        <v>78998.260000000009</v>
      </c>
      <c r="G240" s="18">
        <f>290.37+7289.81+14727.92</f>
        <v>22308.1</v>
      </c>
      <c r="H240" s="18">
        <f>35894.02+4692.92+1704.46</f>
        <v>42291.399999999994</v>
      </c>
      <c r="I240" s="18">
        <f>5660.88+247.19</f>
        <v>5908.07</v>
      </c>
      <c r="J240" s="18">
        <f>511.75</f>
        <v>511.75</v>
      </c>
      <c r="K240" s="18">
        <f>22377.57+1165.64+592.05</f>
        <v>24135.26</v>
      </c>
      <c r="L240" s="19">
        <f t="shared" si="4"/>
        <v>174152.84000000003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177504.73+11239.5</f>
        <v>188744.23</v>
      </c>
      <c r="G241" s="18">
        <f>38859.38+2416.13</f>
        <v>41275.509999999995</v>
      </c>
      <c r="H241" s="18">
        <f>14434.16</f>
        <v>14434.16</v>
      </c>
      <c r="I241" s="18">
        <f>1879.5</f>
        <v>1879.5</v>
      </c>
      <c r="J241" s="18">
        <f>250.89</f>
        <v>250.89</v>
      </c>
      <c r="K241" s="18">
        <f>11253.03</f>
        <v>11253.03</v>
      </c>
      <c r="L241" s="19">
        <f t="shared" si="4"/>
        <v>257837.32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f>40030.27</f>
        <v>40030.269999999997</v>
      </c>
      <c r="G242" s="18">
        <f>17518.03</f>
        <v>17518.03</v>
      </c>
      <c r="H242" s="18"/>
      <c r="I242" s="18"/>
      <c r="J242" s="18"/>
      <c r="K242" s="18"/>
      <c r="L242" s="19">
        <f t="shared" si="4"/>
        <v>57548.299999999996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122382.91</f>
        <v>122382.91</v>
      </c>
      <c r="G243" s="18">
        <f>42305.19</f>
        <v>42305.19</v>
      </c>
      <c r="H243" s="18">
        <f>7520.71+190350.32</f>
        <v>197871.03</v>
      </c>
      <c r="I243" s="18">
        <f>113853.13</f>
        <v>113853.13</v>
      </c>
      <c r="J243" s="18">
        <f>7243.51</f>
        <v>7243.51</v>
      </c>
      <c r="K243" s="18"/>
      <c r="L243" s="19">
        <f t="shared" si="4"/>
        <v>483655.77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56959+55270.14+39067+1822.59+25344.47</f>
        <v>178463.2</v>
      </c>
      <c r="I244" s="18"/>
      <c r="J244" s="18"/>
      <c r="K244" s="18"/>
      <c r="L244" s="19">
        <f t="shared" si="4"/>
        <v>178463.2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f>1150.45</f>
        <v>1150.45</v>
      </c>
      <c r="G245" s="18">
        <f>208.28</f>
        <v>208.28</v>
      </c>
      <c r="H245" s="18"/>
      <c r="I245" s="18"/>
      <c r="J245" s="18"/>
      <c r="K245" s="18"/>
      <c r="L245" s="19">
        <f>SUM(F245:K245)</f>
        <v>1358.73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2480048.4500000002</v>
      </c>
      <c r="G247" s="41">
        <f t="shared" si="5"/>
        <v>969702.49</v>
      </c>
      <c r="H247" s="41">
        <f t="shared" si="5"/>
        <v>1079724.1900000002</v>
      </c>
      <c r="I247" s="41">
        <f t="shared" si="5"/>
        <v>211076.66</v>
      </c>
      <c r="J247" s="41">
        <f t="shared" si="5"/>
        <v>62905.35</v>
      </c>
      <c r="K247" s="41">
        <f t="shared" si="5"/>
        <v>56274.47</v>
      </c>
      <c r="L247" s="41">
        <f t="shared" si="5"/>
        <v>4859731.6100000003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433696.85+59402</f>
        <v>493098.85</v>
      </c>
      <c r="I255" s="18"/>
      <c r="J255" s="18"/>
      <c r="K255" s="18"/>
      <c r="L255" s="19">
        <f t="shared" si="6"/>
        <v>493098.85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493098.85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493098.85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8503168.2199999988</v>
      </c>
      <c r="G257" s="41">
        <f t="shared" si="8"/>
        <v>3485729.13</v>
      </c>
      <c r="H257" s="41">
        <f t="shared" si="8"/>
        <v>2779812.5700000003</v>
      </c>
      <c r="I257" s="41">
        <f t="shared" si="8"/>
        <v>602461.29</v>
      </c>
      <c r="J257" s="41">
        <f t="shared" si="8"/>
        <v>265657.82</v>
      </c>
      <c r="K257" s="41">
        <f t="shared" si="8"/>
        <v>134027.37</v>
      </c>
      <c r="L257" s="41">
        <f t="shared" si="8"/>
        <v>15770856.399999997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1036.6300000000001</v>
      </c>
      <c r="L263" s="19">
        <f>SUM(F263:K263)</f>
        <v>1036.6300000000001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f>500000+100000</f>
        <v>600000</v>
      </c>
      <c r="L266" s="19">
        <f t="shared" si="9"/>
        <v>600000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601036.63</v>
      </c>
      <c r="L270" s="41">
        <f t="shared" si="9"/>
        <v>601036.63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8503168.2199999988</v>
      </c>
      <c r="G271" s="42">
        <f t="shared" si="11"/>
        <v>3485729.13</v>
      </c>
      <c r="H271" s="42">
        <f t="shared" si="11"/>
        <v>2779812.5700000003</v>
      </c>
      <c r="I271" s="42">
        <f t="shared" si="11"/>
        <v>602461.29</v>
      </c>
      <c r="J271" s="42">
        <f t="shared" si="11"/>
        <v>265657.82</v>
      </c>
      <c r="K271" s="42">
        <f t="shared" si="11"/>
        <v>735064</v>
      </c>
      <c r="L271" s="42">
        <f t="shared" si="11"/>
        <v>16371893.029999997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103952.43</v>
      </c>
      <c r="G276" s="18">
        <v>32278.85</v>
      </c>
      <c r="H276" s="18">
        <v>485.28</v>
      </c>
      <c r="I276" s="18">
        <v>2209.61</v>
      </c>
      <c r="J276" s="18">
        <v>5932.77</v>
      </c>
      <c r="K276" s="18"/>
      <c r="L276" s="19">
        <f>SUM(F276:K276)</f>
        <v>144858.93999999997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127587.79</v>
      </c>
      <c r="G277" s="18">
        <v>57384.69</v>
      </c>
      <c r="H277" s="18">
        <v>3379.31</v>
      </c>
      <c r="I277" s="18">
        <v>422.75</v>
      </c>
      <c r="J277" s="18">
        <v>11831.05</v>
      </c>
      <c r="K277" s="18">
        <v>264.87</v>
      </c>
      <c r="L277" s="19">
        <f>SUM(F277:K277)</f>
        <v>200870.45999999996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>
        <v>750</v>
      </c>
      <c r="J279" s="18"/>
      <c r="K279" s="18"/>
      <c r="L279" s="19">
        <f>SUM(F279:K279)</f>
        <v>750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10890</v>
      </c>
      <c r="G282" s="18">
        <v>2375.21</v>
      </c>
      <c r="H282" s="18">
        <v>28619.58</v>
      </c>
      <c r="I282" s="18">
        <v>4267.3100000000004</v>
      </c>
      <c r="J282" s="18"/>
      <c r="K282" s="18"/>
      <c r="L282" s="19">
        <f t="shared" si="12"/>
        <v>46152.1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>
        <v>1575</v>
      </c>
      <c r="I285" s="18"/>
      <c r="J285" s="18"/>
      <c r="K285" s="18"/>
      <c r="L285" s="19">
        <f t="shared" si="12"/>
        <v>1575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242430.21999999997</v>
      </c>
      <c r="G290" s="42">
        <f t="shared" si="13"/>
        <v>92038.750000000015</v>
      </c>
      <c r="H290" s="42">
        <f t="shared" si="13"/>
        <v>34059.17</v>
      </c>
      <c r="I290" s="42">
        <f t="shared" si="13"/>
        <v>7649.67</v>
      </c>
      <c r="J290" s="42">
        <f t="shared" si="13"/>
        <v>17763.82</v>
      </c>
      <c r="K290" s="42">
        <f t="shared" si="13"/>
        <v>264.87</v>
      </c>
      <c r="L290" s="41">
        <f t="shared" si="13"/>
        <v>394206.49999999988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2155</v>
      </c>
      <c r="G314" s="18">
        <v>440.89</v>
      </c>
      <c r="H314" s="18">
        <v>1250</v>
      </c>
      <c r="I314" s="18">
        <v>1320.82</v>
      </c>
      <c r="J314" s="18">
        <v>5986.64</v>
      </c>
      <c r="K314" s="18">
        <v>750</v>
      </c>
      <c r="L314" s="19">
        <f>SUM(F314:K314)</f>
        <v>11903.35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42507.79</v>
      </c>
      <c r="G315" s="18">
        <v>19350</v>
      </c>
      <c r="H315" s="18">
        <v>1126.44</v>
      </c>
      <c r="I315" s="18">
        <v>140.91999999999999</v>
      </c>
      <c r="J315" s="18">
        <v>4042.93</v>
      </c>
      <c r="K315" s="18">
        <v>88.27</v>
      </c>
      <c r="L315" s="19">
        <f>SUM(F315:K315)</f>
        <v>67256.350000000006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3630</v>
      </c>
      <c r="G320" s="18">
        <v>791.74</v>
      </c>
      <c r="H320" s="18">
        <v>9539.86</v>
      </c>
      <c r="I320" s="18">
        <v>1422.44</v>
      </c>
      <c r="J320" s="18"/>
      <c r="K320" s="18"/>
      <c r="L320" s="19">
        <f t="shared" si="16"/>
        <v>15384.04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>
        <v>525</v>
      </c>
      <c r="I323" s="18"/>
      <c r="J323" s="18"/>
      <c r="K323" s="18"/>
      <c r="L323" s="19">
        <f t="shared" si="16"/>
        <v>525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55</v>
      </c>
      <c r="I325" s="18"/>
      <c r="J325" s="18"/>
      <c r="K325" s="18"/>
      <c r="L325" s="19">
        <f t="shared" si="16"/>
        <v>55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48292.79</v>
      </c>
      <c r="G328" s="42">
        <f t="shared" si="17"/>
        <v>20582.63</v>
      </c>
      <c r="H328" s="42">
        <f t="shared" si="17"/>
        <v>12496.300000000001</v>
      </c>
      <c r="I328" s="42">
        <f t="shared" si="17"/>
        <v>2884.1800000000003</v>
      </c>
      <c r="J328" s="42">
        <f t="shared" si="17"/>
        <v>10029.57</v>
      </c>
      <c r="K328" s="42">
        <f t="shared" si="17"/>
        <v>838.27</v>
      </c>
      <c r="L328" s="41">
        <f t="shared" si="17"/>
        <v>95123.74000000002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290723.00999999995</v>
      </c>
      <c r="G338" s="41">
        <f t="shared" si="20"/>
        <v>112621.38000000002</v>
      </c>
      <c r="H338" s="41">
        <f t="shared" si="20"/>
        <v>46555.47</v>
      </c>
      <c r="I338" s="41">
        <f t="shared" si="20"/>
        <v>10533.85</v>
      </c>
      <c r="J338" s="41">
        <f t="shared" si="20"/>
        <v>27793.39</v>
      </c>
      <c r="K338" s="41">
        <f t="shared" si="20"/>
        <v>1103.1399999999999</v>
      </c>
      <c r="L338" s="41">
        <f t="shared" si="20"/>
        <v>489330.23999999987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290723.00999999995</v>
      </c>
      <c r="G352" s="41">
        <f>G338</f>
        <v>112621.38000000002</v>
      </c>
      <c r="H352" s="41">
        <f>H338</f>
        <v>46555.47</v>
      </c>
      <c r="I352" s="41">
        <f>I338</f>
        <v>10533.85</v>
      </c>
      <c r="J352" s="41">
        <f>J338</f>
        <v>27793.39</v>
      </c>
      <c r="K352" s="47">
        <f>K338+K351</f>
        <v>1103.1399999999999</v>
      </c>
      <c r="L352" s="41">
        <f>L338+L351</f>
        <v>489330.23999999987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38960.54+26881.1+30020.25</f>
        <v>95861.89</v>
      </c>
      <c r="G358" s="18">
        <f>6761.84+2748.17+1606.12+757+4940.69+2002.96+931.93+475+6115.04</f>
        <v>26338.75</v>
      </c>
      <c r="H358" s="18">
        <f>1589.45+3132.5+304.92</f>
        <v>5026.87</v>
      </c>
      <c r="I358" s="18">
        <f>3456.85+54950.32+1898.99+36592.43+91.5</f>
        <v>96990.09</v>
      </c>
      <c r="J358" s="18"/>
      <c r="K358" s="18">
        <v>520.5</v>
      </c>
      <c r="L358" s="13">
        <f>SUM(F358:K358)</f>
        <v>224738.09999999998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23235.53+125+192.5+6541.14+10006.75</f>
        <v>40100.92</v>
      </c>
      <c r="G360" s="18">
        <f>1733.46+1410.87+410+2038.35</f>
        <v>5592.68</v>
      </c>
      <c r="H360" s="18">
        <f>1300.24+101.64</f>
        <v>1401.88</v>
      </c>
      <c r="I360" s="18">
        <f>1567.39+29343.81+30.5</f>
        <v>30941.7</v>
      </c>
      <c r="J360" s="18"/>
      <c r="K360" s="18">
        <v>173.5</v>
      </c>
      <c r="L360" s="19">
        <f>SUM(F360:K360)</f>
        <v>78210.679999999993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135962.81</v>
      </c>
      <c r="G362" s="47">
        <f t="shared" si="22"/>
        <v>31931.43</v>
      </c>
      <c r="H362" s="47">
        <f t="shared" si="22"/>
        <v>6428.75</v>
      </c>
      <c r="I362" s="47">
        <f t="shared" si="22"/>
        <v>127931.79</v>
      </c>
      <c r="J362" s="47">
        <f t="shared" si="22"/>
        <v>0</v>
      </c>
      <c r="K362" s="47">
        <f t="shared" si="22"/>
        <v>694</v>
      </c>
      <c r="L362" s="47">
        <f t="shared" si="22"/>
        <v>302948.77999999997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54950.32+36592.43</f>
        <v>91542.75</v>
      </c>
      <c r="G367" s="18"/>
      <c r="H367" s="18">
        <v>29343.81</v>
      </c>
      <c r="I367" s="56">
        <f>SUM(F367:H367)</f>
        <v>120886.56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1898.99+3456.85+91.5</f>
        <v>5447.34</v>
      </c>
      <c r="G368" s="63"/>
      <c r="H368" s="63">
        <f>30.5+1567.39</f>
        <v>1597.89</v>
      </c>
      <c r="I368" s="56">
        <f>SUM(F368:H368)</f>
        <v>7045.2300000000005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96990.09</v>
      </c>
      <c r="G369" s="47">
        <f>SUM(G367:G368)</f>
        <v>0</v>
      </c>
      <c r="H369" s="47">
        <f>SUM(H367:H368)</f>
        <v>30941.7</v>
      </c>
      <c r="I369" s="47">
        <f>SUM(I367:I368)</f>
        <v>127931.79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>
        <v>500000</v>
      </c>
      <c r="H388" s="18">
        <f>1217.24+151.3</f>
        <v>1368.54</v>
      </c>
      <c r="I388" s="18"/>
      <c r="J388" s="24" t="s">
        <v>289</v>
      </c>
      <c r="K388" s="24" t="s">
        <v>289</v>
      </c>
      <c r="L388" s="56">
        <f t="shared" si="25"/>
        <v>501368.54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500000</v>
      </c>
      <c r="H393" s="139">
        <f>SUM(H387:H392)</f>
        <v>1368.54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501368.54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50000</v>
      </c>
      <c r="H396" s="18">
        <v>338.62</v>
      </c>
      <c r="I396" s="18"/>
      <c r="J396" s="24" t="s">
        <v>289</v>
      </c>
      <c r="K396" s="24" t="s">
        <v>289</v>
      </c>
      <c r="L396" s="56">
        <f t="shared" si="26"/>
        <v>50338.62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50000</v>
      </c>
      <c r="H397" s="18">
        <v>574.86</v>
      </c>
      <c r="I397" s="18"/>
      <c r="J397" s="24" t="s">
        <v>289</v>
      </c>
      <c r="K397" s="24" t="s">
        <v>289</v>
      </c>
      <c r="L397" s="56">
        <f t="shared" si="26"/>
        <v>50574.86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209.49</v>
      </c>
      <c r="I399" s="18"/>
      <c r="J399" s="24" t="s">
        <v>289</v>
      </c>
      <c r="K399" s="24" t="s">
        <v>289</v>
      </c>
      <c r="L399" s="56">
        <f t="shared" si="26"/>
        <v>209.49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53.15</v>
      </c>
      <c r="I400" s="18"/>
      <c r="J400" s="24" t="s">
        <v>289</v>
      </c>
      <c r="K400" s="24" t="s">
        <v>289</v>
      </c>
      <c r="L400" s="56">
        <f t="shared" si="26"/>
        <v>53.15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100000</v>
      </c>
      <c r="H401" s="47">
        <f>SUM(H395:H400)</f>
        <v>1176.1200000000001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101176.12000000001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600000</v>
      </c>
      <c r="H408" s="47">
        <f>H393+H401+H407</f>
        <v>2544.66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602544.66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>
        <v>433696.85</v>
      </c>
      <c r="L414" s="56">
        <f t="shared" si="27"/>
        <v>433696.85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433696.85</v>
      </c>
      <c r="L419" s="47">
        <f t="shared" si="28"/>
        <v>433696.85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433696.85</v>
      </c>
      <c r="L434" s="47">
        <f t="shared" si="32"/>
        <v>433696.85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f>71334.02+554860.21</f>
        <v>626194.23</v>
      </c>
      <c r="G439" s="18">
        <f>184008.3+295373.36+98764.4+25055.53</f>
        <v>603201.59</v>
      </c>
      <c r="H439" s="18"/>
      <c r="I439" s="56">
        <f t="shared" ref="I439:I445" si="33">SUM(F439:H439)</f>
        <v>1229395.8199999998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626194.23</v>
      </c>
      <c r="G446" s="13">
        <f>SUM(G439:G445)</f>
        <v>603201.59</v>
      </c>
      <c r="H446" s="13">
        <f>SUM(H439:H445)</f>
        <v>0</v>
      </c>
      <c r="I446" s="13">
        <f>SUM(I439:I445)</f>
        <v>1229395.8199999998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f>F439</f>
        <v>626194.23</v>
      </c>
      <c r="G459" s="18">
        <f>G439</f>
        <v>603201.59</v>
      </c>
      <c r="H459" s="18"/>
      <c r="I459" s="56">
        <f t="shared" si="34"/>
        <v>1229395.8199999998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626194.23</v>
      </c>
      <c r="G460" s="83">
        <f>SUM(G454:G459)</f>
        <v>603201.59</v>
      </c>
      <c r="H460" s="83">
        <f>SUM(H454:H459)</f>
        <v>0</v>
      </c>
      <c r="I460" s="83">
        <f>SUM(I454:I459)</f>
        <v>1229395.8199999998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626194.23</v>
      </c>
      <c r="G461" s="42">
        <f>G452+G460</f>
        <v>603201.59</v>
      </c>
      <c r="H461" s="42">
        <f>H452+H460</f>
        <v>0</v>
      </c>
      <c r="I461" s="42">
        <f>I452+I460</f>
        <v>1229395.8199999998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722053</v>
      </c>
      <c r="G465" s="18">
        <v>11987.03</v>
      </c>
      <c r="H465" s="18">
        <v>16836.22</v>
      </c>
      <c r="I465" s="18"/>
      <c r="J465" s="18">
        <v>1060548.01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17015429.5-722053</f>
        <v>16293376.5</v>
      </c>
      <c r="G468" s="18">
        <v>307334.92</v>
      </c>
      <c r="H468" s="18">
        <f>467191.87+22996.77</f>
        <v>490188.64</v>
      </c>
      <c r="I468" s="18"/>
      <c r="J468" s="18">
        <v>602544.66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16293376.5</v>
      </c>
      <c r="G470" s="53">
        <f>SUM(G468:G469)</f>
        <v>307334.92</v>
      </c>
      <c r="H470" s="53">
        <f>SUM(H468:H469)</f>
        <v>490188.64</v>
      </c>
      <c r="I470" s="53">
        <f>SUM(I468:I469)</f>
        <v>0</v>
      </c>
      <c r="J470" s="53">
        <f>SUM(J468:J469)</f>
        <v>602544.66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16371893.029999999</v>
      </c>
      <c r="G472" s="18">
        <v>302948.78000000003</v>
      </c>
      <c r="H472" s="18">
        <f>467191.87+22138.37</f>
        <v>489330.24</v>
      </c>
      <c r="I472" s="18"/>
      <c r="J472" s="18">
        <v>433696.85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0.23</v>
      </c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16371893.26</v>
      </c>
      <c r="G474" s="53">
        <f>SUM(G472:G473)</f>
        <v>302948.78000000003</v>
      </c>
      <c r="H474" s="53">
        <f>SUM(H472:H473)</f>
        <v>489330.24</v>
      </c>
      <c r="I474" s="53">
        <f>SUM(I472:I473)</f>
        <v>0</v>
      </c>
      <c r="J474" s="53">
        <f>SUM(J472:J473)</f>
        <v>433696.85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643536.24000000022</v>
      </c>
      <c r="G476" s="53">
        <f>(G465+G470)- G474</f>
        <v>16373.169999999984</v>
      </c>
      <c r="H476" s="53">
        <f>(H465+H470)- H474</f>
        <v>17694.619999999995</v>
      </c>
      <c r="I476" s="53">
        <f>(I465+I470)- I474</f>
        <v>0</v>
      </c>
      <c r="J476" s="53">
        <f>(J465+J470)- J474</f>
        <v>1229395.8199999998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1503354.87</v>
      </c>
      <c r="G521" s="18">
        <v>552734.93999999994</v>
      </c>
      <c r="H521" s="18">
        <v>365227.41</v>
      </c>
      <c r="I521" s="18">
        <v>15800.88</v>
      </c>
      <c r="J521" s="18">
        <v>65254.34</v>
      </c>
      <c r="K521" s="18">
        <v>264.83999999999997</v>
      </c>
      <c r="L521" s="88">
        <f>SUM(F521:K521)</f>
        <v>2502637.2799999998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593291.55000000005</v>
      </c>
      <c r="G523" s="18">
        <v>195528.26</v>
      </c>
      <c r="H523" s="18">
        <v>435321.01</v>
      </c>
      <c r="I523" s="18">
        <v>4142.05</v>
      </c>
      <c r="J523" s="18">
        <v>15162.5</v>
      </c>
      <c r="K523" s="18">
        <v>88.27</v>
      </c>
      <c r="L523" s="88">
        <f>SUM(F523:K523)</f>
        <v>1243533.6400000001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2096646.4200000002</v>
      </c>
      <c r="G524" s="108">
        <f t="shared" ref="G524:L524" si="36">SUM(G521:G523)</f>
        <v>748263.2</v>
      </c>
      <c r="H524" s="108">
        <f t="shared" si="36"/>
        <v>800548.41999999993</v>
      </c>
      <c r="I524" s="108">
        <f t="shared" si="36"/>
        <v>19942.93</v>
      </c>
      <c r="J524" s="108">
        <f t="shared" si="36"/>
        <v>80416.84</v>
      </c>
      <c r="K524" s="108">
        <f t="shared" si="36"/>
        <v>353.10999999999996</v>
      </c>
      <c r="L524" s="89">
        <f t="shared" si="36"/>
        <v>3746170.92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411992.15</v>
      </c>
      <c r="G526" s="18">
        <v>197450.67</v>
      </c>
      <c r="H526" s="18">
        <v>949.69</v>
      </c>
      <c r="I526" s="18">
        <v>5457.59</v>
      </c>
      <c r="J526" s="18">
        <v>89.99</v>
      </c>
      <c r="K526" s="18"/>
      <c r="L526" s="88">
        <f>SUM(F526:K526)</f>
        <v>615940.09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147074.16</v>
      </c>
      <c r="G528" s="18">
        <v>67262.2</v>
      </c>
      <c r="H528" s="18">
        <v>2622.87</v>
      </c>
      <c r="I528" s="18">
        <v>3233.29</v>
      </c>
      <c r="J528" s="18"/>
      <c r="K528" s="18">
        <v>505.75</v>
      </c>
      <c r="L528" s="88">
        <f>SUM(F528:K528)</f>
        <v>220698.27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559066.31000000006</v>
      </c>
      <c r="G529" s="89">
        <f t="shared" ref="G529:L529" si="37">SUM(G526:G528)</f>
        <v>264712.87</v>
      </c>
      <c r="H529" s="89">
        <f t="shared" si="37"/>
        <v>3572.56</v>
      </c>
      <c r="I529" s="89">
        <f t="shared" si="37"/>
        <v>8690.880000000001</v>
      </c>
      <c r="J529" s="89">
        <f t="shared" si="37"/>
        <v>89.99</v>
      </c>
      <c r="K529" s="89">
        <f t="shared" si="37"/>
        <v>505.75</v>
      </c>
      <c r="L529" s="89">
        <f t="shared" si="37"/>
        <v>836638.36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93234.95</v>
      </c>
      <c r="G531" s="18">
        <v>44183.77</v>
      </c>
      <c r="H531" s="18">
        <v>5113.37</v>
      </c>
      <c r="I531" s="18">
        <v>741.56</v>
      </c>
      <c r="J531" s="18"/>
      <c r="K531" s="18">
        <v>1776.15</v>
      </c>
      <c r="L531" s="88">
        <f>SUM(F531:K531)</f>
        <v>145049.79999999999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31078.32</v>
      </c>
      <c r="G533" s="18">
        <v>14727.92</v>
      </c>
      <c r="H533" s="18">
        <v>1704.46</v>
      </c>
      <c r="I533" s="18">
        <v>247.19</v>
      </c>
      <c r="J533" s="18"/>
      <c r="K533" s="18">
        <v>592.04999999999995</v>
      </c>
      <c r="L533" s="88">
        <f>SUM(F533:K533)</f>
        <v>48349.94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124313.26999999999</v>
      </c>
      <c r="G534" s="89">
        <f t="shared" ref="G534:L534" si="38">SUM(G531:G533)</f>
        <v>58911.689999999995</v>
      </c>
      <c r="H534" s="89">
        <f t="shared" si="38"/>
        <v>6817.83</v>
      </c>
      <c r="I534" s="89">
        <f t="shared" si="38"/>
        <v>988.75</v>
      </c>
      <c r="J534" s="89">
        <f t="shared" si="38"/>
        <v>0</v>
      </c>
      <c r="K534" s="89">
        <f t="shared" si="38"/>
        <v>2368.1999999999998</v>
      </c>
      <c r="L534" s="89">
        <f t="shared" si="38"/>
        <v>193399.74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165810</v>
      </c>
      <c r="I541" s="18"/>
      <c r="J541" s="18"/>
      <c r="K541" s="18"/>
      <c r="L541" s="88">
        <f>SUM(F541:K541)</f>
        <v>165810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55270</v>
      </c>
      <c r="I543" s="18"/>
      <c r="J543" s="18"/>
      <c r="K543" s="18"/>
      <c r="L543" s="88">
        <f>SUM(F543:K543)</f>
        <v>55270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221080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221080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2780026.0000000005</v>
      </c>
      <c r="G545" s="89">
        <f t="shared" ref="G545:L545" si="41">G524+G529+G534+G539+G544</f>
        <v>1071887.76</v>
      </c>
      <c r="H545" s="89">
        <f t="shared" si="41"/>
        <v>1032018.8099999999</v>
      </c>
      <c r="I545" s="89">
        <f t="shared" si="41"/>
        <v>29622.560000000001</v>
      </c>
      <c r="J545" s="89">
        <f t="shared" si="41"/>
        <v>80506.83</v>
      </c>
      <c r="K545" s="89">
        <f t="shared" si="41"/>
        <v>3227.0599999999995</v>
      </c>
      <c r="L545" s="89">
        <f t="shared" si="41"/>
        <v>4997289.0200000005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2502637.2799999998</v>
      </c>
      <c r="G549" s="87">
        <f>L526</f>
        <v>615940.09</v>
      </c>
      <c r="H549" s="87">
        <f>L531</f>
        <v>145049.79999999999</v>
      </c>
      <c r="I549" s="87">
        <f>L536</f>
        <v>0</v>
      </c>
      <c r="J549" s="87">
        <f>L541</f>
        <v>165810</v>
      </c>
      <c r="K549" s="87">
        <f>SUM(F549:J549)</f>
        <v>3429437.1699999995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1243533.6400000001</v>
      </c>
      <c r="G551" s="87">
        <f>L528</f>
        <v>220698.27</v>
      </c>
      <c r="H551" s="87">
        <f>L533</f>
        <v>48349.94</v>
      </c>
      <c r="I551" s="87">
        <f>L538</f>
        <v>0</v>
      </c>
      <c r="J551" s="87">
        <f>L543</f>
        <v>55270</v>
      </c>
      <c r="K551" s="87">
        <f>SUM(F551:J551)</f>
        <v>1567851.85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3746170.92</v>
      </c>
      <c r="G552" s="89">
        <f t="shared" si="42"/>
        <v>836638.36</v>
      </c>
      <c r="H552" s="89">
        <f t="shared" si="42"/>
        <v>193399.74</v>
      </c>
      <c r="I552" s="89">
        <f t="shared" si="42"/>
        <v>0</v>
      </c>
      <c r="J552" s="89">
        <f t="shared" si="42"/>
        <v>221080</v>
      </c>
      <c r="K552" s="89">
        <f t="shared" si="42"/>
        <v>4997289.0199999996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31680</v>
      </c>
      <c r="I579" s="87">
        <f t="shared" si="47"/>
        <v>31680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55673.52</v>
      </c>
      <c r="G580" s="18"/>
      <c r="H580" s="18">
        <v>28670</v>
      </c>
      <c r="I580" s="87">
        <f t="shared" si="47"/>
        <v>84343.51999999999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80047.66</v>
      </c>
      <c r="G582" s="18"/>
      <c r="H582" s="18">
        <v>227104.28</v>
      </c>
      <c r="I582" s="87">
        <f t="shared" si="47"/>
        <v>307151.94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137516</v>
      </c>
      <c r="I584" s="87">
        <f t="shared" si="47"/>
        <v>137516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187423.32</v>
      </c>
      <c r="I591" s="18"/>
      <c r="J591" s="18">
        <f>56959+1822.59</f>
        <v>58781.59</v>
      </c>
      <c r="K591" s="104">
        <f t="shared" ref="K591:K597" si="48">SUM(H591:J591)</f>
        <v>246204.91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165810.42000000001</v>
      </c>
      <c r="I592" s="18"/>
      <c r="J592" s="18">
        <v>55270.14</v>
      </c>
      <c r="K592" s="104">
        <f t="shared" si="48"/>
        <v>221080.56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39067</v>
      </c>
      <c r="K593" s="104">
        <f t="shared" si="48"/>
        <v>39067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3324.36</v>
      </c>
      <c r="I594" s="18"/>
      <c r="J594" s="18">
        <v>18734.009999999998</v>
      </c>
      <c r="K594" s="104">
        <f t="shared" si="48"/>
        <v>22058.37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15076.21-3324.36</f>
        <v>11751.849999999999</v>
      </c>
      <c r="I595" s="18"/>
      <c r="J595" s="18">
        <v>6610.46</v>
      </c>
      <c r="K595" s="104">
        <f t="shared" si="48"/>
        <v>18362.309999999998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368309.94999999995</v>
      </c>
      <c r="I598" s="108">
        <f>SUM(I591:I597)</f>
        <v>0</v>
      </c>
      <c r="J598" s="108">
        <f>SUM(J591:J597)</f>
        <v>178463.19999999998</v>
      </c>
      <c r="K598" s="108">
        <f>SUM(K591:K597)</f>
        <v>546773.14999999991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202752.47+17763.82</f>
        <v>220516.29</v>
      </c>
      <c r="I604" s="18"/>
      <c r="J604" s="18">
        <f>62905.35+10029.57</f>
        <v>72934.92</v>
      </c>
      <c r="K604" s="104">
        <f>SUM(H604:J604)</f>
        <v>293451.21000000002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220516.29</v>
      </c>
      <c r="I605" s="108">
        <f>SUM(I602:I604)</f>
        <v>0</v>
      </c>
      <c r="J605" s="108">
        <f>SUM(J602:J604)</f>
        <v>72934.92</v>
      </c>
      <c r="K605" s="108">
        <f>SUM(K602:K604)</f>
        <v>293451.21000000002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1401733.71</v>
      </c>
      <c r="H617" s="109">
        <f>SUM(F52)</f>
        <v>1401733.71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9323.82</v>
      </c>
      <c r="H618" s="109">
        <f>SUM(G52)</f>
        <v>9323.82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98308.91</v>
      </c>
      <c r="H619" s="109">
        <f>SUM(H52)</f>
        <v>98308.909999999989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1229395.8199999998</v>
      </c>
      <c r="H621" s="109">
        <f>SUM(J52)</f>
        <v>1229395.8199999998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643536.24</v>
      </c>
      <c r="H622" s="109">
        <f>F476</f>
        <v>643536.24000000022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16373.17</v>
      </c>
      <c r="H623" s="109">
        <f>G476</f>
        <v>16373.169999999984</v>
      </c>
      <c r="I623" s="121" t="s">
        <v>102</v>
      </c>
      <c r="J623" s="109">
        <f t="shared" si="50"/>
        <v>1.6370904631912708E-11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17694.62</v>
      </c>
      <c r="H624" s="109">
        <f>H476</f>
        <v>17694.619999999995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1229395.8199999998</v>
      </c>
      <c r="H626" s="109">
        <f>J476</f>
        <v>1229395.8199999998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16293376.500000002</v>
      </c>
      <c r="H627" s="104">
        <f>SUM(F468)</f>
        <v>16293376.5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307334.92000000004</v>
      </c>
      <c r="H628" s="104">
        <f>SUM(G468)</f>
        <v>307334.92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490188.64</v>
      </c>
      <c r="H629" s="104">
        <f>SUM(H468)</f>
        <v>490188.64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602544.66</v>
      </c>
      <c r="H631" s="104">
        <f>SUM(J468)</f>
        <v>602544.66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16371893.029999997</v>
      </c>
      <c r="H632" s="104">
        <f>SUM(F472)</f>
        <v>16371893.029999999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489330.23999999987</v>
      </c>
      <c r="H633" s="104">
        <f>SUM(H472)</f>
        <v>489330.24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127931.79</v>
      </c>
      <c r="H634" s="104">
        <f>I369</f>
        <v>127931.79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302948.77999999997</v>
      </c>
      <c r="H635" s="104">
        <f>SUM(G472)</f>
        <v>302948.78000000003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602544.66</v>
      </c>
      <c r="H637" s="164">
        <f>SUM(J468)</f>
        <v>602544.66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433696.85</v>
      </c>
      <c r="H638" s="164">
        <f>SUM(J472)</f>
        <v>433696.85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626194.23</v>
      </c>
      <c r="H639" s="104">
        <f>SUM(F461)</f>
        <v>626194.23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603201.59</v>
      </c>
      <c r="H640" s="104">
        <f>SUM(G461)</f>
        <v>603201.59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1229395.8199999998</v>
      </c>
      <c r="H642" s="104">
        <f>SUM(I461)</f>
        <v>1229395.8199999998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2544.66</v>
      </c>
      <c r="H644" s="104">
        <f>H408</f>
        <v>2544.66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600000</v>
      </c>
      <c r="H645" s="104">
        <f>G408</f>
        <v>600000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602544.66</v>
      </c>
      <c r="H646" s="104">
        <f>L408</f>
        <v>602544.66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546773.14999999991</v>
      </c>
      <c r="H647" s="104">
        <f>L208+L226+L244</f>
        <v>546773.15000000014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293451.21000000002</v>
      </c>
      <c r="H648" s="104">
        <f>(J257+J338)-(J255+J336)</f>
        <v>293451.21000000002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368309.95000000007</v>
      </c>
      <c r="H649" s="104">
        <f>H598</f>
        <v>368309.94999999995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178463.2</v>
      </c>
      <c r="H651" s="104">
        <f>J598</f>
        <v>178463.19999999998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1036.6300000000001</v>
      </c>
      <c r="H652" s="104">
        <f>K263+K345</f>
        <v>1036.6300000000001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600000</v>
      </c>
      <c r="H655" s="104">
        <f>K266+K347</f>
        <v>600000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11036970.539999997</v>
      </c>
      <c r="G660" s="19">
        <f>(L229+L309+L359)</f>
        <v>0</v>
      </c>
      <c r="H660" s="19">
        <f>(L247+L328+L360)</f>
        <v>5033066.03</v>
      </c>
      <c r="I660" s="19">
        <f>SUM(F660:H660)</f>
        <v>16070036.569999997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122126.51359709387</v>
      </c>
      <c r="G661" s="19">
        <f>(L359/IF(SUM(L358:L360)=0,1,SUM(L358:L360))*(SUM(G97:G110)))</f>
        <v>0</v>
      </c>
      <c r="H661" s="19">
        <f>(L360/IF(SUM(L358:L360)=0,1,SUM(L358:L360))*(SUM(G97:G110)))</f>
        <v>42501.016402906127</v>
      </c>
      <c r="I661" s="19">
        <f>SUM(F661:H661)</f>
        <v>164627.53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368309.95000000007</v>
      </c>
      <c r="G662" s="19">
        <f>(L226+L306)-(J226+J306)</f>
        <v>0</v>
      </c>
      <c r="H662" s="19">
        <f>(L244+L325)-(J244+J325)</f>
        <v>178518.2</v>
      </c>
      <c r="I662" s="19">
        <f>SUM(F662:H662)</f>
        <v>546828.15000000014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356237.47</v>
      </c>
      <c r="G663" s="199">
        <f>SUM(G575:G587)+SUM(I602:I604)+L612</f>
        <v>0</v>
      </c>
      <c r="H663" s="199">
        <f>SUM(H575:H587)+SUM(J602:J604)+L613</f>
        <v>497905.2</v>
      </c>
      <c r="I663" s="19">
        <f>SUM(F663:H663)</f>
        <v>854142.66999999993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10190296.606402904</v>
      </c>
      <c r="G664" s="19">
        <f>G660-SUM(G661:G663)</f>
        <v>0</v>
      </c>
      <c r="H664" s="19">
        <f>H660-SUM(H661:H663)</f>
        <v>4314141.6135970941</v>
      </c>
      <c r="I664" s="19">
        <f>I660-SUM(I661:I663)</f>
        <v>14504438.219999997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727.21</v>
      </c>
      <c r="G665" s="248"/>
      <c r="H665" s="248">
        <v>241.11</v>
      </c>
      <c r="I665" s="19">
        <f>SUM(F665:H665)</f>
        <v>968.32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14012.87</v>
      </c>
      <c r="G667" s="19" t="e">
        <f>ROUND(G664/G665,2)</f>
        <v>#DIV/0!</v>
      </c>
      <c r="H667" s="19">
        <f>ROUND(H664/H665,2)</f>
        <v>17892.84</v>
      </c>
      <c r="I667" s="19">
        <f>ROUND(I664/I665,2)</f>
        <v>14978.97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-20.059999999999999</v>
      </c>
      <c r="I670" s="19">
        <f>SUM(F670:H670)</f>
        <v>-20.059999999999999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14012.87</v>
      </c>
      <c r="G672" s="19" t="e">
        <f>ROUND((G664+G669)/(G665+G670),2)</f>
        <v>#DIV/0!</v>
      </c>
      <c r="H672" s="19">
        <f>ROUND((H664+H669)/(H665+H670),2)</f>
        <v>19516.59</v>
      </c>
      <c r="I672" s="19">
        <f>ROUND((I664+I669)/(I665+I670),2)</f>
        <v>15295.85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62" sqref="B6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Newmarket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3911724.69</v>
      </c>
      <c r="C9" s="229">
        <f>'DOE25'!G197+'DOE25'!G215+'DOE25'!G233+'DOE25'!G276+'DOE25'!G295+'DOE25'!G314</f>
        <v>1753263.3699999999</v>
      </c>
    </row>
    <row r="10" spans="1:3" x14ac:dyDescent="0.2">
      <c r="A10" t="s">
        <v>779</v>
      </c>
      <c r="B10" s="240">
        <f>1701065.04+35206.61+30861.87+2833.43+805649.83+645+10072.18+11791.33+11791.33+1087085.16+6005+26556.45+9327.47+6117.89+63635.7+75977-119.1</f>
        <v>3884502.1900000009</v>
      </c>
      <c r="C10" s="240">
        <f>826436.32+417623.04+516461.02-12246.3-7257.01</f>
        <v>1741017.0699999998</v>
      </c>
    </row>
    <row r="11" spans="1:3" x14ac:dyDescent="0.2">
      <c r="A11" t="s">
        <v>780</v>
      </c>
      <c r="B11" s="240">
        <v>21626</v>
      </c>
      <c r="C11" s="240">
        <v>12246.3</v>
      </c>
    </row>
    <row r="12" spans="1:3" x14ac:dyDescent="0.2">
      <c r="A12" t="s">
        <v>781</v>
      </c>
      <c r="B12" s="240">
        <f>5596.5</f>
        <v>5596.5</v>
      </c>
      <c r="C12" s="240">
        <v>0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3911724.6900000009</v>
      </c>
      <c r="C13" s="231">
        <f>SUM(C10:C12)</f>
        <v>1753263.3699999999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2096646.42</v>
      </c>
      <c r="C18" s="229">
        <f>'DOE25'!G198+'DOE25'!G216+'DOE25'!G234+'DOE25'!G277+'DOE25'!G296+'DOE25'!G315</f>
        <v>748263.2</v>
      </c>
    </row>
    <row r="19" spans="1:3" x14ac:dyDescent="0.2">
      <c r="A19" t="s">
        <v>779</v>
      </c>
      <c r="B19" s="240">
        <f>1095+26620.53+426706.67+4972.5+3600+38742.78+225+161566.92+1560+330435.55+660+1560+23627.21+75297.65+154582-43997</f>
        <v>1207254.8099999998</v>
      </c>
      <c r="C19" s="240">
        <f>95918.14+374423.61+24710.51</f>
        <v>495052.26</v>
      </c>
    </row>
    <row r="20" spans="1:3" x14ac:dyDescent="0.2">
      <c r="A20" t="s">
        <v>780</v>
      </c>
      <c r="B20" s="240">
        <f>476995.51+27645+3765.16+182987.64+171005.11</f>
        <v>862398.42</v>
      </c>
      <c r="C20" s="240">
        <f>184588.47+64411.4</f>
        <v>248999.87</v>
      </c>
    </row>
    <row r="21" spans="1:3" x14ac:dyDescent="0.2">
      <c r="A21" t="s">
        <v>781</v>
      </c>
      <c r="B21" s="240">
        <v>26993.19</v>
      </c>
      <c r="C21" s="240">
        <v>4211.07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2096646.42</v>
      </c>
      <c r="C22" s="231">
        <f>SUM(C19:C21)</f>
        <v>748263.2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387754.35999999993</v>
      </c>
      <c r="C36" s="235">
        <f>'DOE25'!G200+'DOE25'!G218+'DOE25'!G236+'DOE25'!G279+'DOE25'!G298+'DOE25'!G317</f>
        <v>145639.36000000002</v>
      </c>
    </row>
    <row r="37" spans="1:3" x14ac:dyDescent="0.2">
      <c r="A37" t="s">
        <v>779</v>
      </c>
      <c r="B37" s="240">
        <f>61550+16747.2+25120.8+385+3113.79+8462.1+32404+2820+11651.73+4306.88+9510+31438</f>
        <v>207509.50000000003</v>
      </c>
      <c r="C37" s="240">
        <f>20103.81+12012.83+113783.69-20955.24</f>
        <v>124945.09000000001</v>
      </c>
    </row>
    <row r="38" spans="1:3" x14ac:dyDescent="0.2">
      <c r="A38" t="s">
        <v>780</v>
      </c>
      <c r="B38" s="240">
        <f>180244.86</f>
        <v>180244.86</v>
      </c>
      <c r="C38" s="240">
        <f>17309.33+1880.54+1504.4</f>
        <v>20694.270000000004</v>
      </c>
    </row>
    <row r="39" spans="1:3" x14ac:dyDescent="0.2">
      <c r="A39" t="s">
        <v>781</v>
      </c>
      <c r="B39" s="240">
        <v>0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387754.36</v>
      </c>
      <c r="C40" s="231">
        <f>SUM(C37:C39)</f>
        <v>145639.36000000002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9" activePane="bottomLeft" state="frozen"/>
      <selection activeCell="F46" sqref="F46"/>
      <selection pane="bottomLeft" activeCell="D51" sqref="D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Newmarket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9904511.3300000001</v>
      </c>
      <c r="D5" s="20">
        <f>SUM('DOE25'!L197:L200)+SUM('DOE25'!L215:L218)+SUM('DOE25'!L233:L236)-F5-G5</f>
        <v>9773533.5899999999</v>
      </c>
      <c r="E5" s="243"/>
      <c r="F5" s="255">
        <f>SUM('DOE25'!J197:J200)+SUM('DOE25'!J215:J218)+SUM('DOE25'!J233:J236)</f>
        <v>108367.74</v>
      </c>
      <c r="G5" s="53">
        <f>SUM('DOE25'!K197:K200)+SUM('DOE25'!K215:K218)+SUM('DOE25'!K233:K236)</f>
        <v>22610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1043746.2899999998</v>
      </c>
      <c r="D6" s="20">
        <f>'DOE25'!L202+'DOE25'!L220+'DOE25'!L238-F6-G6</f>
        <v>1042621.9499999998</v>
      </c>
      <c r="E6" s="243"/>
      <c r="F6" s="255">
        <f>'DOE25'!J202+'DOE25'!J220+'DOE25'!J238</f>
        <v>529.34</v>
      </c>
      <c r="G6" s="53">
        <f>'DOE25'!K202+'DOE25'!K220+'DOE25'!K238</f>
        <v>595</v>
      </c>
      <c r="H6" s="259"/>
    </row>
    <row r="7" spans="1:9" x14ac:dyDescent="0.2">
      <c r="A7" s="32">
        <v>2200</v>
      </c>
      <c r="B7" t="s">
        <v>834</v>
      </c>
      <c r="C7" s="245">
        <f t="shared" si="0"/>
        <v>826298.03</v>
      </c>
      <c r="D7" s="20">
        <f>'DOE25'!L203+'DOE25'!L221+'DOE25'!L239-F7-G7</f>
        <v>690561.17</v>
      </c>
      <c r="E7" s="243"/>
      <c r="F7" s="255">
        <f>'DOE25'!J203+'DOE25'!J221+'DOE25'!J239</f>
        <v>134320.15</v>
      </c>
      <c r="G7" s="53">
        <f>'DOE25'!K203+'DOE25'!K221+'DOE25'!K239</f>
        <v>1416.71</v>
      </c>
      <c r="H7" s="259"/>
    </row>
    <row r="8" spans="1:9" x14ac:dyDescent="0.2">
      <c r="A8" s="32">
        <v>2300</v>
      </c>
      <c r="B8" t="s">
        <v>802</v>
      </c>
      <c r="C8" s="245">
        <f t="shared" si="0"/>
        <v>412189.38999999996</v>
      </c>
      <c r="D8" s="243"/>
      <c r="E8" s="20">
        <f>'DOE25'!L204+'DOE25'!L222+'DOE25'!L240-F8-G8-D9-D11</f>
        <v>313601.36</v>
      </c>
      <c r="F8" s="255">
        <f>'DOE25'!J204+'DOE25'!J222+'DOE25'!J240</f>
        <v>2047</v>
      </c>
      <c r="G8" s="53">
        <f>'DOE25'!K204+'DOE25'!K222+'DOE25'!K240</f>
        <v>96541.029999999984</v>
      </c>
      <c r="H8" s="259"/>
    </row>
    <row r="9" spans="1:9" x14ac:dyDescent="0.2">
      <c r="A9" s="32">
        <v>2310</v>
      </c>
      <c r="B9" t="s">
        <v>818</v>
      </c>
      <c r="C9" s="245">
        <f t="shared" si="0"/>
        <v>66518.67</v>
      </c>
      <c r="D9" s="244">
        <v>66518.67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17228.7</v>
      </c>
      <c r="D10" s="243"/>
      <c r="E10" s="244">
        <v>17228.7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217903.23</v>
      </c>
      <c r="D11" s="244">
        <f>212803.23+5100</f>
        <v>217903.23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789934</v>
      </c>
      <c r="D12" s="20">
        <f>'DOE25'!L205+'DOE25'!L223+'DOE25'!L241-F12-G12</f>
        <v>776686.92</v>
      </c>
      <c r="E12" s="243"/>
      <c r="F12" s="255">
        <f>'DOE25'!J205+'DOE25'!J223+'DOE25'!J241</f>
        <v>382.45</v>
      </c>
      <c r="G12" s="53">
        <f>'DOE25'!K205+'DOE25'!K223+'DOE25'!K241</f>
        <v>12864.630000000001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230193.53999999998</v>
      </c>
      <c r="D13" s="243"/>
      <c r="E13" s="20">
        <f>'DOE25'!L206+'DOE25'!L224+'DOE25'!L242-F13-G13</f>
        <v>230193.53999999998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1238291.8199999998</v>
      </c>
      <c r="D14" s="20">
        <f>'DOE25'!L207+'DOE25'!L225+'DOE25'!L243-F14-G14</f>
        <v>1218280.68</v>
      </c>
      <c r="E14" s="243"/>
      <c r="F14" s="255">
        <f>'DOE25'!J207+'DOE25'!J225+'DOE25'!J243</f>
        <v>20011.14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546773.15000000014</v>
      </c>
      <c r="D15" s="20">
        <f>'DOE25'!L208+'DOE25'!L226+'DOE25'!L244-F15-G15</f>
        <v>546773.15000000014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1398.1</v>
      </c>
      <c r="D16" s="243"/>
      <c r="E16" s="20">
        <f>'DOE25'!L209+'DOE25'!L227+'DOE25'!L245-F16-G16</f>
        <v>1398.1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493098.85</v>
      </c>
      <c r="D22" s="243"/>
      <c r="E22" s="243"/>
      <c r="F22" s="255">
        <f>'DOE25'!L255+'DOE25'!L336</f>
        <v>493098.85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182062.21999999997</v>
      </c>
      <c r="D29" s="20">
        <f>'DOE25'!L358+'DOE25'!L359+'DOE25'!L360-'DOE25'!I367-F29-G29</f>
        <v>181368.21999999997</v>
      </c>
      <c r="E29" s="243"/>
      <c r="F29" s="255">
        <f>'DOE25'!J358+'DOE25'!J359+'DOE25'!J360</f>
        <v>0</v>
      </c>
      <c r="G29" s="53">
        <f>'DOE25'!K358+'DOE25'!K359+'DOE25'!K360</f>
        <v>694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489330.23999999987</v>
      </c>
      <c r="D31" s="20">
        <f>'DOE25'!L290+'DOE25'!L309+'DOE25'!L328+'DOE25'!L333+'DOE25'!L334+'DOE25'!L335-F31-G31</f>
        <v>460433.70999999985</v>
      </c>
      <c r="E31" s="243"/>
      <c r="F31" s="255">
        <f>'DOE25'!J290+'DOE25'!J309+'DOE25'!J328+'DOE25'!J333+'DOE25'!J334+'DOE25'!J335</f>
        <v>27793.39</v>
      </c>
      <c r="G31" s="53">
        <f>'DOE25'!K290+'DOE25'!K309+'DOE25'!K328+'DOE25'!K333+'DOE25'!K334+'DOE25'!K335</f>
        <v>1103.1399999999999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14974681.289999999</v>
      </c>
      <c r="E33" s="246">
        <f>SUM(E5:E31)</f>
        <v>562421.69999999995</v>
      </c>
      <c r="F33" s="246">
        <f>SUM(F5:F31)</f>
        <v>786550.05999999994</v>
      </c>
      <c r="G33" s="246">
        <f>SUM(G5:G31)</f>
        <v>135824.51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562421.69999999995</v>
      </c>
      <c r="E35" s="249"/>
    </row>
    <row r="36" spans="2:8" ht="12" thickTop="1" x14ac:dyDescent="0.2">
      <c r="B36" t="s">
        <v>815</v>
      </c>
      <c r="D36" s="20">
        <f>D33</f>
        <v>14974681.289999999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Newmarket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1399415.3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1229395.8199999998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11494.64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185</v>
      </c>
      <c r="D13" s="95">
        <f>'DOE25'!G14</f>
        <v>0</v>
      </c>
      <c r="E13" s="95">
        <f>'DOE25'!H14</f>
        <v>98308.91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1190.57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2133.41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-3361.39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1401733.71</v>
      </c>
      <c r="D18" s="41">
        <f>SUM(D8:D17)</f>
        <v>9323.82</v>
      </c>
      <c r="E18" s="41">
        <f>SUM(E8:E17)</f>
        <v>98308.91</v>
      </c>
      <c r="F18" s="41">
        <f>SUM(F8:F17)</f>
        <v>0</v>
      </c>
      <c r="G18" s="41">
        <f>SUM(G8:G17)</f>
        <v>1229395.8199999998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-55870.32</v>
      </c>
      <c r="D21" s="95">
        <f>'DOE25'!G22</f>
        <v>-7049.35</v>
      </c>
      <c r="E21" s="95">
        <f>'DOE25'!H22</f>
        <v>80614.289999999994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241439.43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572628.36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758197.47</v>
      </c>
      <c r="D31" s="41">
        <f>SUM(D21:D30)</f>
        <v>-7049.35</v>
      </c>
      <c r="E31" s="41">
        <f>SUM(E21:E30)</f>
        <v>80614.289999999994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1229395.8199999998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16373.17</v>
      </c>
      <c r="E48" s="95">
        <f>'DOE25'!H49</f>
        <v>17694.62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493536.24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643536.24</v>
      </c>
      <c r="D50" s="41">
        <f>SUM(D34:D49)</f>
        <v>16373.17</v>
      </c>
      <c r="E50" s="41">
        <f>SUM(E34:E49)</f>
        <v>17694.62</v>
      </c>
      <c r="F50" s="41">
        <f>SUM(F34:F49)</f>
        <v>0</v>
      </c>
      <c r="G50" s="41">
        <f>SUM(G34:G49)</f>
        <v>1229395.8199999998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1401733.71</v>
      </c>
      <c r="D51" s="41">
        <f>D50+D31</f>
        <v>9323.82</v>
      </c>
      <c r="E51" s="41">
        <f>E50+E31</f>
        <v>98308.909999999989</v>
      </c>
      <c r="F51" s="41">
        <f>F50+F31</f>
        <v>0</v>
      </c>
      <c r="G51" s="41">
        <f>G50+G31</f>
        <v>1229395.8199999998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11389367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15505.5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7313.44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2544.66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158189.85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88207.44</v>
      </c>
      <c r="D61" s="95">
        <f>SUM('DOE25'!G98:G110)</f>
        <v>6437.68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111026.38</v>
      </c>
      <c r="D62" s="130">
        <f>SUM(D57:D61)</f>
        <v>164627.53</v>
      </c>
      <c r="E62" s="130">
        <f>SUM(E57:E61)</f>
        <v>0</v>
      </c>
      <c r="F62" s="130">
        <f>SUM(F57:F61)</f>
        <v>0</v>
      </c>
      <c r="G62" s="130">
        <f>SUM(G57:G61)</f>
        <v>2544.66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11500393.380000001</v>
      </c>
      <c r="D63" s="22">
        <f>D56+D62</f>
        <v>164627.53</v>
      </c>
      <c r="E63" s="22">
        <f>E56+E62</f>
        <v>0</v>
      </c>
      <c r="F63" s="22">
        <f>F56+F62</f>
        <v>0</v>
      </c>
      <c r="G63" s="22">
        <f>G56+G62</f>
        <v>2544.66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2351837.9900000002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1719407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75.28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4071320.27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51247.17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12417.6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4643.95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63664.77</v>
      </c>
      <c r="D78" s="130">
        <f>SUM(D72:D77)</f>
        <v>4643.95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4134985.04</v>
      </c>
      <c r="D81" s="130">
        <f>SUM(D79:D80)+D78+D70</f>
        <v>4643.95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2317.5500000000002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224301.23</v>
      </c>
      <c r="D88" s="95">
        <f>SUM('DOE25'!G153:G161)</f>
        <v>134709.26</v>
      </c>
      <c r="E88" s="95">
        <f>SUM('DOE25'!H153:H161)</f>
        <v>467191.87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22996.77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224301.23</v>
      </c>
      <c r="D91" s="131">
        <f>SUM(D85:D90)</f>
        <v>137026.81</v>
      </c>
      <c r="E91" s="131">
        <f>SUM(E85:E90)</f>
        <v>490188.64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1036.6300000000001</v>
      </c>
      <c r="E96" s="95">
        <f>'DOE25'!H179</f>
        <v>0</v>
      </c>
      <c r="F96" s="95">
        <f>'DOE25'!I179</f>
        <v>0</v>
      </c>
      <c r="G96" s="95">
        <f>'DOE25'!J179</f>
        <v>600000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433696.85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433696.85</v>
      </c>
      <c r="D103" s="86">
        <f>SUM(D93:D102)</f>
        <v>1036.6300000000001</v>
      </c>
      <c r="E103" s="86">
        <f>SUM(E93:E102)</f>
        <v>0</v>
      </c>
      <c r="F103" s="86">
        <f>SUM(F93:F102)</f>
        <v>0</v>
      </c>
      <c r="G103" s="86">
        <f>SUM(G93:G102)</f>
        <v>600000</v>
      </c>
    </row>
    <row r="104" spans="1:7" ht="12.75" thickTop="1" thickBot="1" x14ac:dyDescent="0.25">
      <c r="A104" s="33" t="s">
        <v>765</v>
      </c>
      <c r="C104" s="86">
        <f>C63+C81+C91+C103</f>
        <v>16293376.500000002</v>
      </c>
      <c r="D104" s="86">
        <f>D63+D81+D91+D103</f>
        <v>307334.92000000004</v>
      </c>
      <c r="E104" s="86">
        <f>E63+E81+E91+E103</f>
        <v>490188.64</v>
      </c>
      <c r="F104" s="86">
        <f>F63+F81+F91+F103</f>
        <v>0</v>
      </c>
      <c r="G104" s="86">
        <f>G63+G81+G103</f>
        <v>602544.66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5699886.9100000001</v>
      </c>
      <c r="D109" s="24" t="s">
        <v>289</v>
      </c>
      <c r="E109" s="95">
        <f>('DOE25'!L276)+('DOE25'!L295)+('DOE25'!L314)</f>
        <v>156762.28999999998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3478044.1399999997</v>
      </c>
      <c r="D110" s="24" t="s">
        <v>289</v>
      </c>
      <c r="E110" s="95">
        <f>('DOE25'!L277)+('DOE25'!L296)+('DOE25'!L315)</f>
        <v>268126.80999999994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138187.81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588392.47</v>
      </c>
      <c r="D112" s="24" t="s">
        <v>289</v>
      </c>
      <c r="E112" s="95">
        <f>+('DOE25'!L279)+('DOE25'!L298)+('DOE25'!L317)</f>
        <v>750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9904511.3300000019</v>
      </c>
      <c r="D115" s="86">
        <f>SUM(D109:D114)</f>
        <v>0</v>
      </c>
      <c r="E115" s="86">
        <f>SUM(E109:E114)</f>
        <v>425639.09999999992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1043746.2899999998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826298.03</v>
      </c>
      <c r="D119" s="24" t="s">
        <v>289</v>
      </c>
      <c r="E119" s="95">
        <f>+('DOE25'!L282)+('DOE25'!L301)+('DOE25'!L320)</f>
        <v>61536.14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696611.29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789934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230193.53999999998</v>
      </c>
      <c r="D122" s="24" t="s">
        <v>289</v>
      </c>
      <c r="E122" s="95">
        <f>+('DOE25'!L285)+('DOE25'!L304)+('DOE25'!L323)</f>
        <v>2100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1238291.8199999998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546773.15000000014</v>
      </c>
      <c r="D124" s="24" t="s">
        <v>289</v>
      </c>
      <c r="E124" s="95">
        <f>+('DOE25'!L287)+('DOE25'!L306)+('DOE25'!L325)</f>
        <v>55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1398.1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302948.77999999997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5373246.2199999997</v>
      </c>
      <c r="D128" s="86">
        <f>SUM(D118:D127)</f>
        <v>302948.77999999997</v>
      </c>
      <c r="E128" s="86">
        <f>SUM(E118:E127)</f>
        <v>63691.14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493098.85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433696.85</v>
      </c>
    </row>
    <row r="135" spans="1:7" x14ac:dyDescent="0.2">
      <c r="A135" t="s">
        <v>233</v>
      </c>
      <c r="B135" s="32" t="s">
        <v>234</v>
      </c>
      <c r="C135" s="95">
        <f>'DOE25'!L263</f>
        <v>1036.6300000000001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501368.54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101176.12000000001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-2544.6600000000326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1094135.48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433696.85</v>
      </c>
    </row>
    <row r="145" spans="1:9" ht="12.75" thickTop="1" thickBot="1" x14ac:dyDescent="0.25">
      <c r="A145" s="33" t="s">
        <v>244</v>
      </c>
      <c r="C145" s="86">
        <f>(C115+C128+C144)</f>
        <v>16371893.030000001</v>
      </c>
      <c r="D145" s="86">
        <f>(D115+D128+D144)</f>
        <v>302948.77999999997</v>
      </c>
      <c r="E145" s="86">
        <f>(E115+E128+E144)</f>
        <v>489330.23999999993</v>
      </c>
      <c r="F145" s="86">
        <f>(F115+F128+F144)</f>
        <v>0</v>
      </c>
      <c r="G145" s="86">
        <f>(G115+G128+G144)</f>
        <v>433696.85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Newmarket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14013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19517</v>
      </c>
    </row>
    <row r="7" spans="1:4" x14ac:dyDescent="0.2">
      <c r="B7" t="s">
        <v>705</v>
      </c>
      <c r="C7" s="179">
        <f>IF('DOE25'!I665+'DOE25'!I670=0,0,ROUND('DOE25'!I672,0))</f>
        <v>15296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5856649</v>
      </c>
      <c r="D10" s="182">
        <f>ROUND((C10/$C$28)*100,1)</f>
        <v>36.799999999999997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3746171</v>
      </c>
      <c r="D11" s="182">
        <f>ROUND((C11/$C$28)*100,1)</f>
        <v>23.6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138188</v>
      </c>
      <c r="D12" s="182">
        <f>ROUND((C12/$C$28)*100,1)</f>
        <v>0.9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589142</v>
      </c>
      <c r="D13" s="182">
        <f>ROUND((C13/$C$28)*100,1)</f>
        <v>3.7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1043746</v>
      </c>
      <c r="D15" s="182">
        <f t="shared" ref="D15:D27" si="0">ROUND((C15/$C$28)*100,1)</f>
        <v>6.6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887834</v>
      </c>
      <c r="D16" s="182">
        <f t="shared" si="0"/>
        <v>5.6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698009</v>
      </c>
      <c r="D17" s="182">
        <f t="shared" si="0"/>
        <v>4.4000000000000004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789934</v>
      </c>
      <c r="D18" s="182">
        <f t="shared" si="0"/>
        <v>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232294</v>
      </c>
      <c r="D19" s="182">
        <f t="shared" si="0"/>
        <v>1.5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1238292</v>
      </c>
      <c r="D20" s="182">
        <f t="shared" si="0"/>
        <v>7.8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546828</v>
      </c>
      <c r="D21" s="182">
        <f t="shared" si="0"/>
        <v>3.4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138321.47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15905408.470000001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493099</v>
      </c>
    </row>
    <row r="30" spans="1:4" x14ac:dyDescent="0.2">
      <c r="B30" s="187" t="s">
        <v>729</v>
      </c>
      <c r="C30" s="180">
        <f>SUM(C28:C29)</f>
        <v>16398507.470000001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11389367</v>
      </c>
      <c r="D35" s="182">
        <f t="shared" ref="D35:D40" si="1">ROUND((C35/$C$41)*100,1)</f>
        <v>69.099999999999994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113571.04000000097</v>
      </c>
      <c r="D36" s="182">
        <f t="shared" si="1"/>
        <v>0.7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4071245</v>
      </c>
      <c r="D37" s="182">
        <f t="shared" si="1"/>
        <v>24.7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68384</v>
      </c>
      <c r="D38" s="182">
        <f t="shared" si="1"/>
        <v>0.4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851517</v>
      </c>
      <c r="D39" s="182">
        <f t="shared" si="1"/>
        <v>5.2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16494084.040000001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Newmarket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2015-10-23T14:54:24Z</cp:lastPrinted>
  <dcterms:created xsi:type="dcterms:W3CDTF">1997-12-04T19:04:30Z</dcterms:created>
  <dcterms:modified xsi:type="dcterms:W3CDTF">2015-11-30T13:48:51Z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